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05" windowWidth="15195" windowHeight="8445" activeTab="0"/>
  </bookViews>
  <sheets>
    <sheet name="FF Solar Simulator" sheetId="1" r:id="rId1"/>
    <sheet name="Help" sheetId="2" r:id="rId2"/>
    <sheet name="Sept '13 Update" sheetId="3" state="hidden" r:id="rId3"/>
  </sheets>
  <definedNames>
    <definedName name="_xlnm.Print_Area" localSheetId="0">'FF Solar Simulator'!$B$2:$K$84</definedName>
    <definedName name="Z_1E2A84CD_FA60_4F29_886F_B57BE6A12B13_.wvu.PrintArea" localSheetId="0" hidden="1">'FF Solar Simulator'!$B$2:$K$84</definedName>
    <definedName name="Z_1E2A84CD_FA60_4F29_886F_B57BE6A12B13_.wvu.Rows" localSheetId="0" hidden="1">'FF Solar Simulator'!#REF!,'FF Solar Simulator'!#REF!,'FF Solar Simulator'!#REF!,'FF Solar Simulator'!$58:$58,'FF Solar Simulator'!$119:$133</definedName>
    <definedName name="Z_9B8A3048_D843_434D_A55B_A9139EECB0A8_.wvu.PrintArea" localSheetId="0" hidden="1">'FF Solar Simulator'!$B$2:$K$84</definedName>
    <definedName name="Z_9B8A3048_D843_434D_A55B_A9139EECB0A8_.wvu.Rows" localSheetId="0" hidden="1">'FF Solar Simulator'!#REF!,'FF Solar Simulator'!#REF!,'FF Solar Simulator'!#REF!,'FF Solar Simulator'!$58:$58,'FF Solar Simulator'!$119:$133</definedName>
    <definedName name="Z_B48C33A2_1FA3_4803_AD8B_9515059A575A_.wvu.PrintArea" localSheetId="0" hidden="1">'FF Solar Simulator'!$B$2:$K$84</definedName>
    <definedName name="Z_B48C33A2_1FA3_4803_AD8B_9515059A575A_.wvu.Rows" localSheetId="0" hidden="1">'FF Solar Simulator'!#REF!,'FF Solar Simulator'!#REF!,'FF Solar Simulator'!#REF!,'FF Solar Simulator'!$58:$58,'FF Solar Simulator'!$119:$133</definedName>
  </definedNames>
  <calcPr fullCalcOnLoad="1"/>
</workbook>
</file>

<file path=xl/sharedStrings.xml><?xml version="1.0" encoding="utf-8"?>
<sst xmlns="http://schemas.openxmlformats.org/spreadsheetml/2006/main" count="262" uniqueCount="206">
  <si>
    <t>South</t>
  </si>
  <si>
    <t>Southwest</t>
  </si>
  <si>
    <t>Southeast</t>
  </si>
  <si>
    <t>8/12</t>
  </si>
  <si>
    <t>Flat</t>
  </si>
  <si>
    <t>West</t>
  </si>
  <si>
    <t>East</t>
  </si>
  <si>
    <t>kW-DC</t>
  </si>
  <si>
    <t>Jan</t>
  </si>
  <si>
    <t>Feb</t>
  </si>
  <si>
    <t>Mar</t>
  </si>
  <si>
    <t>Apr</t>
  </si>
  <si>
    <t>May</t>
  </si>
  <si>
    <t>Jun</t>
  </si>
  <si>
    <t>Jul</t>
  </si>
  <si>
    <t>Aug</t>
  </si>
  <si>
    <t>Sep</t>
  </si>
  <si>
    <t>Oct</t>
  </si>
  <si>
    <t>Nov</t>
  </si>
  <si>
    <t>Dec</t>
  </si>
  <si>
    <t>Annual</t>
  </si>
  <si>
    <t>Simulation Data</t>
  </si>
  <si>
    <t>South - 4/12</t>
  </si>
  <si>
    <t>South - 8/12</t>
  </si>
  <si>
    <t>South - 12/12</t>
  </si>
  <si>
    <t>Southwest - 4/12</t>
  </si>
  <si>
    <t>Southwest - 8/12</t>
  </si>
  <si>
    <t>Southwest - 12/12</t>
  </si>
  <si>
    <t>Southeast - 4/12</t>
  </si>
  <si>
    <t>Southeast - 8/12</t>
  </si>
  <si>
    <t>Southeast - 12/12</t>
  </si>
  <si>
    <t>West - 4/12</t>
  </si>
  <si>
    <t>West - 8/12</t>
  </si>
  <si>
    <t>West - 12/12</t>
  </si>
  <si>
    <t>East - 4/12</t>
  </si>
  <si>
    <t>East - 8/12</t>
  </si>
  <si>
    <t>East - 12/12</t>
  </si>
  <si>
    <t>Incentive rate</t>
  </si>
  <si>
    <t>Specific Simulation</t>
  </si>
  <si>
    <t>Text box</t>
  </si>
  <si>
    <t>Low: 1/12 - 3/12</t>
  </si>
  <si>
    <t>$/year</t>
  </si>
  <si>
    <t>years</t>
  </si>
  <si>
    <t>of a typical home</t>
  </si>
  <si>
    <t>including HST</t>
  </si>
  <si>
    <t>Rate</t>
  </si>
  <si>
    <t>10yr Pay Factor</t>
  </si>
  <si>
    <t>5yr Pay Factor</t>
  </si>
  <si>
    <t>Min. amt</t>
  </si>
  <si>
    <t>Max. amt</t>
  </si>
  <si>
    <t>Max Term (mo)</t>
  </si>
  <si>
    <t>Max Amort. (mo)</t>
  </si>
  <si>
    <t>per month!</t>
  </si>
  <si>
    <t>Usage Flag</t>
  </si>
  <si>
    <t>Loan Payment</t>
  </si>
  <si>
    <t>Friendly Fires, Peterborough</t>
  </si>
  <si>
    <t>Store:</t>
  </si>
  <si>
    <t>Contact:</t>
  </si>
  <si>
    <t>Date:</t>
  </si>
  <si>
    <t>Customer:</t>
  </si>
  <si>
    <t>Address:</t>
  </si>
  <si>
    <t>Phone:</t>
  </si>
  <si>
    <t>Store drop table</t>
  </si>
  <si>
    <t>Applicant drop table</t>
  </si>
  <si>
    <t>Individual</t>
  </si>
  <si>
    <t>Additional Contact Information</t>
  </si>
  <si>
    <t>Applicant Declaration</t>
  </si>
  <si>
    <t>Forms To Print</t>
  </si>
  <si>
    <t>Document</t>
  </si>
  <si>
    <t>Name</t>
  </si>
  <si>
    <t>File path</t>
  </si>
  <si>
    <t>Print?</t>
  </si>
  <si>
    <t>Document Paths to forms</t>
  </si>
  <si>
    <t>Doc name</t>
  </si>
  <si>
    <t>Filepath</t>
  </si>
  <si>
    <t>TD Financing - Renewable Energy Financing, Aug. 16/12</t>
  </si>
  <si>
    <t>15yr Pay Factor</t>
  </si>
  <si>
    <t>-</t>
  </si>
  <si>
    <t>TD Program</t>
  </si>
  <si>
    <t>Fixed rate</t>
  </si>
  <si>
    <t>Multi-draw</t>
  </si>
  <si>
    <t>Factor to use</t>
  </si>
  <si>
    <t>Return on investment:</t>
  </si>
  <si>
    <t>Your annual income:</t>
  </si>
  <si>
    <t>Budget project cost:</t>
  </si>
  <si>
    <t>Time to payback:</t>
  </si>
  <si>
    <t>Finance today for as little as:</t>
  </si>
  <si>
    <t>Height (ft)</t>
  </si>
  <si>
    <t>Width (ft)</t>
  </si>
  <si>
    <t>Marketing pkg</t>
  </si>
  <si>
    <t>S:\Solar\FIT\FIT 2.0\Sales\OPA FIT 2 Docs\Additional Contact Information form.pdf</t>
  </si>
  <si>
    <t>S:\Solar\FIT\FIT 2.0\Sales\OPA FIT 2 Docs\Applicant Declaration form.pdf</t>
  </si>
  <si>
    <t>S:\Solar\FIT\FIT 2.0\2. Marketing\fit 2 marketing pkg.pdf</t>
  </si>
  <si>
    <t>S:\Solar\FIT\FIT 2.0\1. Sales\OPA FIT 2 Docs\Additional Contact Information form.pdf</t>
  </si>
  <si>
    <t>S:\Solar\FIT\FIT 2.0\1. Sales\OPA FIT 2 Docs\Applicant Declaration form.pdf</t>
  </si>
  <si>
    <t>Friendly Fires, Cobourg</t>
  </si>
  <si>
    <t>Friendly Fires by Renewable Energy</t>
  </si>
  <si>
    <t>Happy Solar Customer</t>
  </si>
  <si>
    <r>
      <t>YOUR RESULTS</t>
    </r>
    <r>
      <rPr>
        <b/>
        <vertAlign val="superscript"/>
        <sz val="18"/>
        <rFont val="Calibri"/>
        <family val="2"/>
      </rPr>
      <t>ⱡ</t>
    </r>
  </si>
  <si>
    <t>Orientation</t>
  </si>
  <si>
    <t>Roof Pitch</t>
  </si>
  <si>
    <t>Tell us about your roof space</t>
  </si>
  <si>
    <t>Available Roof Space:</t>
  </si>
  <si>
    <t>square feet</t>
  </si>
  <si>
    <t>Standard: 4/12 - 6/12</t>
  </si>
  <si>
    <t>2/12</t>
  </si>
  <si>
    <t>5/12</t>
  </si>
  <si>
    <t>Roof categories</t>
  </si>
  <si>
    <t>Simulated Pitch</t>
  </si>
  <si>
    <t xml:space="preserve">Kingston, 10.0 kW-DC, 0.850 </t>
  </si>
  <si>
    <t>South - 1/12</t>
  </si>
  <si>
    <t>South - 2/12</t>
  </si>
  <si>
    <t>South - 3/12</t>
  </si>
  <si>
    <t>South - 5/12</t>
  </si>
  <si>
    <t>South - 6/12</t>
  </si>
  <si>
    <t>South - 7/12</t>
  </si>
  <si>
    <t>South - 9/12</t>
  </si>
  <si>
    <t>South - 10/12</t>
  </si>
  <si>
    <t>South - 11/12</t>
  </si>
  <si>
    <t>Southwest - 1/12</t>
  </si>
  <si>
    <t>Southwest - 2/12</t>
  </si>
  <si>
    <t>Southwest - 3/12</t>
  </si>
  <si>
    <t>Southwest - 5/12</t>
  </si>
  <si>
    <t>Southwest - 6/12</t>
  </si>
  <si>
    <t>Southwest - 7/12</t>
  </si>
  <si>
    <t>Southwest - 9/12</t>
  </si>
  <si>
    <t>Southwest - 10/12</t>
  </si>
  <si>
    <t>Southwest - 11/12</t>
  </si>
  <si>
    <t>West - 1/12</t>
  </si>
  <si>
    <t>West - 2/12</t>
  </si>
  <si>
    <t>West - 3/12</t>
  </si>
  <si>
    <t>West - 5/12</t>
  </si>
  <si>
    <t>West - 6/12</t>
  </si>
  <si>
    <t>West - 7/12</t>
  </si>
  <si>
    <t>West - 9/12</t>
  </si>
  <si>
    <t>West - 10/12</t>
  </si>
  <si>
    <t>West - 11/12</t>
  </si>
  <si>
    <t>Southeast - 1/12</t>
  </si>
  <si>
    <t>Southeast - 2/12</t>
  </si>
  <si>
    <t>Southeast - 3/12</t>
  </si>
  <si>
    <t>Southeast - 5/12</t>
  </si>
  <si>
    <t>Southeast - 6/12</t>
  </si>
  <si>
    <t>Southeast - 7/12</t>
  </si>
  <si>
    <t>Southeast - 9/12</t>
  </si>
  <si>
    <t>Southeast - 10/12</t>
  </si>
  <si>
    <t>Southeast - 11/12</t>
  </si>
  <si>
    <t>East - 1/12</t>
  </si>
  <si>
    <t>East - 2/12</t>
  </si>
  <si>
    <t>East - 3/12</t>
  </si>
  <si>
    <t>East - 5/12</t>
  </si>
  <si>
    <t>East - 6/12</t>
  </si>
  <si>
    <t>East - 7/12</t>
  </si>
  <si>
    <t>East - 9/12</t>
  </si>
  <si>
    <t>East - 10/12</t>
  </si>
  <si>
    <t>East - 11/12</t>
  </si>
  <si>
    <t>Steep: 8/12 - 12/12</t>
  </si>
  <si>
    <t>1/12</t>
  </si>
  <si>
    <t>3/12</t>
  </si>
  <si>
    <t>4/12</t>
  </si>
  <si>
    <t>6/12</t>
  </si>
  <si>
    <t>7/12</t>
  </si>
  <si>
    <t>9/12</t>
  </si>
  <si>
    <t>10/12</t>
  </si>
  <si>
    <t>11/12</t>
  </si>
  <si>
    <t>12/12</t>
  </si>
  <si>
    <t>Year</t>
  </si>
  <si>
    <t>Costs</t>
  </si>
  <si>
    <t>Revenue</t>
  </si>
  <si>
    <t>Module Degradation (0.8%/year)</t>
  </si>
  <si>
    <t>Income</t>
  </si>
  <si>
    <t>Cash flow</t>
  </si>
  <si>
    <t>Roof 1:</t>
  </si>
  <si>
    <t>Roof 2:</t>
  </si>
  <si>
    <t>Roof 3:</t>
  </si>
  <si>
    <t>Total</t>
  </si>
  <si>
    <t>Your Project:</t>
  </si>
  <si>
    <t>Solar Panels</t>
  </si>
  <si>
    <t>Project Size</t>
  </si>
  <si>
    <t>Annual Power</t>
  </si>
  <si>
    <t>kWh</t>
  </si>
  <si>
    <t>Roof Area</t>
  </si>
  <si>
    <t>Simulation look up value</t>
  </si>
  <si>
    <t>Hidden stuff -&gt;</t>
  </si>
  <si>
    <t>Gross Revenue:</t>
  </si>
  <si>
    <t>Net Revenue:</t>
  </si>
  <si>
    <t>Power</t>
  </si>
  <si>
    <t>Helpful tips for our Solar Simulator</t>
  </si>
  <si>
    <t xml:space="preserve">- This version allows the sales person to calculate a microFIT system on upto 3 different roof lines. The best production will come from: roof 1= south, roof 2=  west; and roof 3 = east.
- There is no shading factor in the simulator and can only be calculated with a site inspection.
- Applicant Type refers to the "eligible participant schedule" by the OPA.
- Typical home in Ontario uses 31 kWh per day.
- Save completed solar simulators under: Z:\Sales Documents\Solar\1. Solar Simulator\Saved Simulations\.
</t>
  </si>
  <si>
    <t>Update - Sept 2013</t>
  </si>
  <si>
    <t>10.0 kW DC MicroFIT System 240V - SMA</t>
  </si>
  <si>
    <t>(4 x 10 Layout)</t>
  </si>
  <si>
    <t>10.0 kW DC MicroFIT System 240V - PowerOne</t>
  </si>
  <si>
    <t>10.0 kW DC MicroFIT System 240V - Enphase</t>
  </si>
  <si>
    <t>Prices</t>
  </si>
  <si>
    <t>Modules, racking, inverters</t>
  </si>
  <si>
    <t>SMA</t>
  </si>
  <si>
    <t>Labour</t>
  </si>
  <si>
    <t>Cost</t>
  </si>
  <si>
    <t>Retail (40pts)</t>
  </si>
  <si>
    <t>Subtotal</t>
  </si>
  <si>
    <t>Tax</t>
  </si>
  <si>
    <t>$/W</t>
  </si>
  <si>
    <r>
      <rPr>
        <b/>
        <sz val="48"/>
        <rFont val="Calibri"/>
        <family val="2"/>
      </rPr>
      <t>Solar Simulator</t>
    </r>
    <r>
      <rPr>
        <b/>
        <sz val="26"/>
        <rFont val="Calibri"/>
        <family val="2"/>
      </rPr>
      <t xml:space="preserve">
microFIT 3.0 Rooftop</t>
    </r>
  </si>
  <si>
    <t>Wiring</t>
  </si>
  <si>
    <t>Updated: Sept. 11, 2013, JW</t>
  </si>
  <si>
    <t>ⱡ These results are for preliminary discussion purposes only. All final numbers are to be determined after a site visit and system design have been conducted. This is an estimation using industry standard methods provided by Natural Resources Canada and Solar Pathfinder simulations. However local factors, such as shading, dust collection, and snow loading may affect individual performance. Anticipated revenues are derived from the micro feed-in tariff (microFIT) program rate of $0.396/kWh. Prices are subject to availability, costing, and actual parts used. "Time to payback" and ROI does not include any ancillary costs such as cost of borrowing, tax implications. For discussion purposes only.TD Financing rates and terms to be finalized with application and OAC.</t>
  </si>
</sst>
</file>

<file path=xl/styles.xml><?xml version="1.0" encoding="utf-8"?>
<styleSheet xmlns="http://schemas.openxmlformats.org/spreadsheetml/2006/main">
  <numFmts count="3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_(&quot;$&quot;* #,##0_);_(&quot;$&quot;* \(#,##0\);_(&quot;$&quot;* &quot;-&quot;??_);_(@_)"/>
    <numFmt numFmtId="174" formatCode="_(* #,##0_);_(* \(#,##0\);_(* &quot;-&quot;??_);_(@_)"/>
    <numFmt numFmtId="175" formatCode="_([$$-409]* #,##0_);_([$$-409]* \(#,##0\);_([$$-409]* &quot;-&quot;??_);_(@_)"/>
    <numFmt numFmtId="176" formatCode="0.00000"/>
    <numFmt numFmtId="177" formatCode="[$-409]mmmm\ d\,\ yyyy;@"/>
    <numFmt numFmtId="178" formatCode="_(* #,##0.0_);_(* \(#,##0.0\);_(* &quot;-&quot;??_);_(@_)"/>
    <numFmt numFmtId="179" formatCode="_([$$-409]* #,##0.0_);_([$$-409]* \(#,##0.0\);_([$$-409]* &quot;-&quot;??_);_(@_)"/>
    <numFmt numFmtId="180" formatCode="_([$$-409]* #,##0.00_);_([$$-409]* \(#,##0.00\);_([$$-409]* &quot;-&quot;??_);_(@_)"/>
    <numFmt numFmtId="181" formatCode="_-* #,##0.0_-;\-* #,##0.0_-;_-* &quot;-&quot;?_-;_-@_-"/>
    <numFmt numFmtId="182" formatCode="_-&quot;$&quot;* #,##0_-;\-&quot;$&quot;* #,##0_-;_-&quot;$&quot;* &quot;-&quot;??_-;_-@_-"/>
    <numFmt numFmtId="183" formatCode="_(&quot;$&quot;* #,##0.0_);_(&quot;$&quot;* \(#,##0.0\);_(&quot;$&quot;* &quot;-&quot;??_);_(@_)"/>
    <numFmt numFmtId="184" formatCode="[$-1009]mmmm\-dd\-yy"/>
    <numFmt numFmtId="185" formatCode="[$-409]h:mm:ss\ AM/PM"/>
    <numFmt numFmtId="186" formatCode="&quot;$&quot;#,##0.00"/>
    <numFmt numFmtId="187" formatCode="&quot;$&quot;#,##0.0"/>
    <numFmt numFmtId="188" formatCode="&quot;$&quot;#,##0"/>
    <numFmt numFmtId="189" formatCode="&quot;$&quot;#,##0.000"/>
    <numFmt numFmtId="190" formatCode="0.00000000"/>
    <numFmt numFmtId="191" formatCode="0.0000000"/>
    <numFmt numFmtId="192" formatCode="0.000000"/>
    <numFmt numFmtId="193" formatCode="0.0000"/>
    <numFmt numFmtId="194" formatCode="0.000"/>
  </numFmts>
  <fonts count="57">
    <font>
      <sz val="11"/>
      <color theme="1"/>
      <name val="Calibri"/>
      <family val="2"/>
    </font>
    <font>
      <sz val="11"/>
      <color indexed="8"/>
      <name val="Calibri"/>
      <family val="2"/>
    </font>
    <font>
      <sz val="12"/>
      <name val="Calibri"/>
      <family val="2"/>
    </font>
    <font>
      <sz val="11"/>
      <name val="Calibri"/>
      <family val="2"/>
    </font>
    <font>
      <b/>
      <sz val="26"/>
      <name val="Calibri"/>
      <family val="2"/>
    </font>
    <font>
      <b/>
      <sz val="48"/>
      <name val="Calibri"/>
      <family val="2"/>
    </font>
    <font>
      <b/>
      <sz val="14"/>
      <name val="Calibri"/>
      <family val="2"/>
    </font>
    <font>
      <sz val="14"/>
      <name val="Calibri"/>
      <family val="2"/>
    </font>
    <font>
      <b/>
      <sz val="11"/>
      <name val="Calibri"/>
      <family val="2"/>
    </font>
    <font>
      <b/>
      <sz val="18"/>
      <name val="Calibri"/>
      <family val="2"/>
    </font>
    <font>
      <sz val="18"/>
      <name val="Calibri"/>
      <family val="2"/>
    </font>
    <font>
      <b/>
      <sz val="12"/>
      <name val="Calibri"/>
      <family val="2"/>
    </font>
    <font>
      <b/>
      <vertAlign val="superscript"/>
      <sz val="18"/>
      <name val="Calibri"/>
      <family val="2"/>
    </font>
    <font>
      <sz val="10"/>
      <name val="Calibri"/>
      <family val="2"/>
    </font>
    <font>
      <sz val="10"/>
      <color indexed="8"/>
      <name val="Calibri"/>
      <family val="0"/>
    </font>
    <font>
      <b/>
      <sz val="18"/>
      <color indexed="8"/>
      <name val="Calibri"/>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name val="Calibri"/>
      <family val="2"/>
    </font>
    <font>
      <b/>
      <u val="single"/>
      <sz val="11"/>
      <color indexed="8"/>
      <name val="Calibri"/>
      <family val="2"/>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8"/>
      <color theme="1"/>
      <name val="Calibri"/>
      <family val="2"/>
    </font>
    <font>
      <b/>
      <u val="single"/>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2" tint="-0.09996999800205231"/>
        <bgColor indexed="64"/>
      </patternFill>
    </fill>
    <fill>
      <patternFill patternType="solid">
        <fgColor rgb="FFF3F0AF"/>
        <bgColor indexed="64"/>
      </patternFill>
    </fill>
    <fill>
      <patternFill patternType="solid">
        <fgColor theme="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style="thin"/>
    </border>
    <border>
      <left/>
      <right/>
      <top style="thin"/>
      <bottom style="thin"/>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color indexed="63"/>
      </left>
      <right>
        <color indexed="63"/>
      </right>
      <top>
        <color indexed="63"/>
      </top>
      <bottom style="double"/>
    </border>
    <border>
      <left>
        <color indexed="63"/>
      </left>
      <right>
        <color indexed="63"/>
      </right>
      <top style="thin"/>
      <bottom style="double"/>
    </border>
    <border>
      <left style="thin"/>
      <right style="thin"/>
      <top/>
      <bottom/>
    </border>
    <border>
      <left/>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136">
    <xf numFmtId="0" fontId="0" fillId="0" borderId="0" xfId="0" applyAlignment="1">
      <alignment/>
    </xf>
    <xf numFmtId="0" fontId="2" fillId="0" borderId="0" xfId="0" applyFont="1" applyFill="1" applyBorder="1" applyAlignment="1" applyProtection="1">
      <alignment vertical="top"/>
      <protection/>
    </xf>
    <xf numFmtId="0" fontId="3" fillId="0" borderId="0" xfId="0" applyFont="1" applyFill="1" applyAlignment="1" applyProtection="1">
      <alignment vertical="top"/>
      <protection/>
    </xf>
    <xf numFmtId="0" fontId="3" fillId="0" borderId="0" xfId="0" applyFont="1" applyFill="1" applyAlignment="1" applyProtection="1">
      <alignment horizontal="center" vertical="top"/>
      <protection/>
    </xf>
    <xf numFmtId="0" fontId="2" fillId="33" borderId="10" xfId="0" applyFont="1" applyFill="1" applyBorder="1" applyAlignment="1" applyProtection="1">
      <alignment vertical="top"/>
      <protection/>
    </xf>
    <xf numFmtId="0" fontId="3" fillId="33" borderId="11" xfId="0" applyFont="1" applyFill="1" applyBorder="1" applyAlignment="1" applyProtection="1">
      <alignment vertical="top"/>
      <protection/>
    </xf>
    <xf numFmtId="0" fontId="2" fillId="33" borderId="12" xfId="0" applyFont="1" applyFill="1" applyBorder="1" applyAlignment="1" applyProtection="1">
      <alignment vertical="top"/>
      <protection/>
    </xf>
    <xf numFmtId="0" fontId="3" fillId="33" borderId="0" xfId="0" applyFont="1" applyFill="1" applyBorder="1" applyAlignment="1" applyProtection="1">
      <alignment vertical="top"/>
      <protection/>
    </xf>
    <xf numFmtId="0" fontId="3" fillId="33" borderId="0" xfId="0" applyFont="1" applyFill="1" applyBorder="1" applyAlignment="1" applyProtection="1">
      <alignment horizontal="center" vertical="top"/>
      <protection/>
    </xf>
    <xf numFmtId="0" fontId="3" fillId="33" borderId="13" xfId="0" applyFont="1" applyFill="1" applyBorder="1" applyAlignment="1" applyProtection="1">
      <alignment vertical="top"/>
      <protection/>
    </xf>
    <xf numFmtId="0" fontId="6" fillId="33" borderId="0" xfId="0" applyFont="1" applyFill="1" applyBorder="1" applyAlignment="1" applyProtection="1">
      <alignment horizontal="right" vertical="top"/>
      <protection/>
    </xf>
    <xf numFmtId="0" fontId="7" fillId="33" borderId="0" xfId="0" applyFont="1" applyFill="1" applyBorder="1" applyAlignment="1" applyProtection="1">
      <alignment vertical="top"/>
      <protection/>
    </xf>
    <xf numFmtId="0" fontId="2" fillId="33" borderId="13" xfId="0" applyFont="1" applyFill="1" applyBorder="1" applyAlignment="1" applyProtection="1">
      <alignment vertical="top"/>
      <protection/>
    </xf>
    <xf numFmtId="0" fontId="2" fillId="0" borderId="0" xfId="0" applyFont="1" applyFill="1" applyAlignment="1" applyProtection="1">
      <alignment vertical="top"/>
      <protection/>
    </xf>
    <xf numFmtId="0" fontId="8" fillId="33" borderId="0" xfId="0" applyFont="1" applyFill="1" applyBorder="1" applyAlignment="1" applyProtection="1">
      <alignment horizontal="left" vertical="top"/>
      <protection/>
    </xf>
    <xf numFmtId="0" fontId="2" fillId="33" borderId="0" xfId="0" applyFont="1" applyFill="1" applyBorder="1" applyAlignment="1" applyProtection="1">
      <alignment horizontal="center" vertical="top"/>
      <protection/>
    </xf>
    <xf numFmtId="0" fontId="2" fillId="33" borderId="0" xfId="0" applyFont="1" applyFill="1" applyBorder="1" applyAlignment="1" applyProtection="1">
      <alignment horizontal="left" vertical="top"/>
      <protection/>
    </xf>
    <xf numFmtId="0" fontId="2" fillId="33" borderId="12" xfId="0" applyFont="1" applyFill="1" applyBorder="1" applyAlignment="1" applyProtection="1">
      <alignment horizontal="center" vertical="top"/>
      <protection/>
    </xf>
    <xf numFmtId="0" fontId="3" fillId="33" borderId="13" xfId="0" applyFont="1" applyFill="1" applyBorder="1" applyAlignment="1" applyProtection="1">
      <alignment horizontal="center" vertical="top"/>
      <protection/>
    </xf>
    <xf numFmtId="0" fontId="3" fillId="33" borderId="0" xfId="0" applyFont="1" applyFill="1" applyBorder="1" applyAlignment="1" applyProtection="1">
      <alignment horizontal="left" vertical="top"/>
      <protection/>
    </xf>
    <xf numFmtId="177" fontId="7" fillId="33" borderId="0" xfId="0" applyNumberFormat="1" applyFont="1" applyFill="1" applyBorder="1" applyAlignment="1" applyProtection="1">
      <alignment vertical="top"/>
      <protection/>
    </xf>
    <xf numFmtId="0" fontId="2" fillId="33" borderId="14" xfId="0" applyFont="1" applyFill="1" applyBorder="1" applyAlignment="1" applyProtection="1">
      <alignment vertical="top"/>
      <protection/>
    </xf>
    <xf numFmtId="0" fontId="3" fillId="33" borderId="15" xfId="0" applyFont="1" applyFill="1" applyBorder="1" applyAlignment="1" applyProtection="1">
      <alignment horizontal="right" vertical="top"/>
      <protection/>
    </xf>
    <xf numFmtId="0" fontId="10" fillId="33" borderId="15" xfId="0" applyFont="1" applyFill="1" applyBorder="1" applyAlignment="1" applyProtection="1">
      <alignment horizontal="left" vertical="top"/>
      <protection/>
    </xf>
    <xf numFmtId="0" fontId="2" fillId="33" borderId="15" xfId="0" applyFont="1" applyFill="1" applyBorder="1" applyAlignment="1" applyProtection="1">
      <alignment horizontal="center" vertical="top"/>
      <protection/>
    </xf>
    <xf numFmtId="0" fontId="3" fillId="33" borderId="15" xfId="0" applyFont="1" applyFill="1" applyBorder="1" applyAlignment="1" applyProtection="1">
      <alignment vertical="top"/>
      <protection/>
    </xf>
    <xf numFmtId="0" fontId="3" fillId="33" borderId="16" xfId="0" applyFont="1" applyFill="1" applyBorder="1" applyAlignment="1" applyProtection="1">
      <alignment vertical="top"/>
      <protection/>
    </xf>
    <xf numFmtId="0" fontId="6" fillId="33" borderId="0" xfId="0" applyFont="1" applyFill="1" applyBorder="1" applyAlignment="1" applyProtection="1">
      <alignment vertical="center"/>
      <protection/>
    </xf>
    <xf numFmtId="0" fontId="8" fillId="33" borderId="0" xfId="0" applyFont="1" applyFill="1" applyBorder="1" applyAlignment="1" applyProtection="1">
      <alignment vertical="center"/>
      <protection/>
    </xf>
    <xf numFmtId="0" fontId="3" fillId="33" borderId="0" xfId="0" applyFont="1" applyFill="1" applyBorder="1" applyAlignment="1" applyProtection="1">
      <alignment vertical="center"/>
      <protection/>
    </xf>
    <xf numFmtId="0" fontId="3" fillId="33" borderId="0" xfId="0" applyFont="1" applyFill="1" applyBorder="1" applyAlignment="1" applyProtection="1">
      <alignment horizontal="center" vertical="center"/>
      <protection/>
    </xf>
    <xf numFmtId="0" fontId="2" fillId="33" borderId="0" xfId="0" applyFont="1" applyFill="1" applyBorder="1" applyAlignment="1" applyProtection="1">
      <alignment vertical="center"/>
      <protection/>
    </xf>
    <xf numFmtId="0" fontId="7" fillId="34" borderId="17" xfId="0" applyFont="1" applyFill="1" applyBorder="1" applyAlignment="1" applyProtection="1">
      <alignment horizontal="center" vertical="center"/>
      <protection locked="0"/>
    </xf>
    <xf numFmtId="0" fontId="11" fillId="33" borderId="0" xfId="0" applyFont="1" applyFill="1" applyBorder="1" applyAlignment="1" applyProtection="1">
      <alignment horizontal="center" vertical="center" wrapText="1"/>
      <protection/>
    </xf>
    <xf numFmtId="0" fontId="6" fillId="33" borderId="0" xfId="0" applyFont="1" applyFill="1" applyBorder="1" applyAlignment="1" applyProtection="1">
      <alignment horizontal="center" vertical="center" wrapText="1"/>
      <protection/>
    </xf>
    <xf numFmtId="0" fontId="6" fillId="33" borderId="0" xfId="0" applyFont="1" applyFill="1" applyBorder="1" applyAlignment="1" applyProtection="1">
      <alignment horizontal="right" vertical="center"/>
      <protection/>
    </xf>
    <xf numFmtId="178" fontId="6" fillId="35" borderId="17" xfId="42" applyNumberFormat="1" applyFont="1" applyFill="1" applyBorder="1" applyAlignment="1" applyProtection="1">
      <alignment vertical="center"/>
      <protection/>
    </xf>
    <xf numFmtId="174" fontId="6" fillId="35" borderId="17" xfId="42" applyNumberFormat="1" applyFont="1" applyFill="1" applyBorder="1" applyAlignment="1" applyProtection="1">
      <alignment vertical="center"/>
      <protection/>
    </xf>
    <xf numFmtId="172" fontId="6" fillId="33" borderId="0" xfId="0" applyNumberFormat="1" applyFont="1" applyFill="1" applyBorder="1" applyAlignment="1" applyProtection="1">
      <alignment vertical="center"/>
      <protection/>
    </xf>
    <xf numFmtId="0" fontId="3" fillId="33" borderId="0" xfId="0" applyFont="1" applyFill="1" applyBorder="1" applyAlignment="1" applyProtection="1">
      <alignment horizontal="right" vertical="center"/>
      <protection/>
    </xf>
    <xf numFmtId="9" fontId="6" fillId="35" borderId="17" xfId="59" applyFont="1" applyFill="1" applyBorder="1" applyAlignment="1" applyProtection="1">
      <alignment vertical="center"/>
      <protection/>
    </xf>
    <xf numFmtId="0" fontId="8" fillId="33" borderId="0" xfId="0" applyFont="1" applyFill="1" applyBorder="1" applyAlignment="1" applyProtection="1">
      <alignment vertical="top"/>
      <protection/>
    </xf>
    <xf numFmtId="0" fontId="8" fillId="33" borderId="12" xfId="0" applyFont="1" applyFill="1" applyBorder="1" applyAlignment="1" applyProtection="1">
      <alignment vertical="top"/>
      <protection/>
    </xf>
    <xf numFmtId="0" fontId="8" fillId="33" borderId="13" xfId="0" applyFont="1" applyFill="1" applyBorder="1" applyAlignment="1" applyProtection="1">
      <alignment vertical="top" wrapText="1"/>
      <protection/>
    </xf>
    <xf numFmtId="0" fontId="3" fillId="33" borderId="15" xfId="0" applyFont="1" applyFill="1" applyBorder="1" applyAlignment="1" applyProtection="1">
      <alignment vertical="center"/>
      <protection/>
    </xf>
    <xf numFmtId="0" fontId="3" fillId="33" borderId="15" xfId="0" applyFont="1" applyFill="1" applyBorder="1" applyAlignment="1" applyProtection="1">
      <alignment horizontal="center" vertical="center"/>
      <protection/>
    </xf>
    <xf numFmtId="0" fontId="8" fillId="0" borderId="0" xfId="0" applyFont="1" applyFill="1" applyAlignment="1" applyProtection="1">
      <alignment vertical="top"/>
      <protection/>
    </xf>
    <xf numFmtId="0" fontId="3" fillId="0" borderId="0" xfId="0" applyFont="1" applyFill="1" applyBorder="1" applyAlignment="1" applyProtection="1">
      <alignment vertical="top"/>
      <protection/>
    </xf>
    <xf numFmtId="0" fontId="13" fillId="0" borderId="0" xfId="0" applyFont="1" applyFill="1" applyBorder="1" applyAlignment="1" applyProtection="1">
      <alignment horizontal="right" vertical="center"/>
      <protection/>
    </xf>
    <xf numFmtId="16" fontId="3" fillId="0" borderId="0" xfId="0" applyNumberFormat="1" applyFont="1" applyFill="1" applyAlignment="1" applyProtection="1" quotePrefix="1">
      <alignment vertical="top"/>
      <protection/>
    </xf>
    <xf numFmtId="4" fontId="3" fillId="0" borderId="0" xfId="0" applyNumberFormat="1" applyFont="1" applyFill="1" applyAlignment="1" applyProtection="1">
      <alignment vertical="top"/>
      <protection/>
    </xf>
    <xf numFmtId="4" fontId="3" fillId="0" borderId="0" xfId="0" applyNumberFormat="1" applyFont="1" applyFill="1" applyAlignment="1" applyProtection="1">
      <alignment horizontal="center" vertical="top"/>
      <protection/>
    </xf>
    <xf numFmtId="176" fontId="3" fillId="0" borderId="0" xfId="0" applyNumberFormat="1" applyFont="1" applyFill="1" applyAlignment="1" applyProtection="1">
      <alignment vertical="top"/>
      <protection/>
    </xf>
    <xf numFmtId="0" fontId="3" fillId="0" borderId="0" xfId="0" applyFont="1" applyFill="1" applyBorder="1" applyAlignment="1" applyProtection="1">
      <alignment horizontal="left" vertical="top"/>
      <protection/>
    </xf>
    <xf numFmtId="0" fontId="3" fillId="0" borderId="0" xfId="0" applyFont="1" applyAlignment="1">
      <alignment/>
    </xf>
    <xf numFmtId="0" fontId="3" fillId="0" borderId="0" xfId="0" applyFont="1" applyFill="1" applyAlignment="1" applyProtection="1">
      <alignment horizontal="left" vertical="top"/>
      <protection/>
    </xf>
    <xf numFmtId="0" fontId="6" fillId="33" borderId="0" xfId="0" applyFont="1" applyFill="1" applyBorder="1" applyAlignment="1" applyProtection="1">
      <alignment horizontal="left" vertical="center"/>
      <protection/>
    </xf>
    <xf numFmtId="0" fontId="6" fillId="33" borderId="0" xfId="0" applyFont="1" applyFill="1" applyBorder="1" applyAlignment="1" applyProtection="1">
      <alignment horizontal="center" vertical="center"/>
      <protection/>
    </xf>
    <xf numFmtId="0" fontId="34" fillId="0" borderId="17" xfId="0" applyFont="1" applyBorder="1" applyAlignment="1">
      <alignment horizontal="center" vertical="center" wrapText="1"/>
    </xf>
    <xf numFmtId="0" fontId="13" fillId="0" borderId="17" xfId="0" applyFont="1" applyBorder="1" applyAlignment="1">
      <alignment horizontal="center"/>
    </xf>
    <xf numFmtId="182" fontId="13" fillId="0" borderId="17" xfId="44" applyNumberFormat="1" applyFont="1" applyBorder="1" applyAlignment="1">
      <alignment/>
    </xf>
    <xf numFmtId="0" fontId="13" fillId="0" borderId="17" xfId="0" applyFont="1" applyBorder="1" applyAlignment="1">
      <alignment/>
    </xf>
    <xf numFmtId="182" fontId="13" fillId="0" borderId="17" xfId="0" applyNumberFormat="1" applyFont="1" applyBorder="1" applyAlignment="1">
      <alignment/>
    </xf>
    <xf numFmtId="0" fontId="6" fillId="33" borderId="0" xfId="0" applyFont="1" applyFill="1" applyBorder="1" applyAlignment="1" applyProtection="1">
      <alignment horizontal="right" vertical="center" wrapText="1"/>
      <protection/>
    </xf>
    <xf numFmtId="0" fontId="8" fillId="33" borderId="0" xfId="0" applyFont="1" applyFill="1" applyBorder="1" applyAlignment="1" applyProtection="1">
      <alignment horizontal="center" vertical="center"/>
      <protection/>
    </xf>
    <xf numFmtId="181" fontId="3" fillId="0" borderId="0" xfId="0" applyNumberFormat="1" applyFont="1" applyFill="1" applyAlignment="1" applyProtection="1">
      <alignment vertical="top"/>
      <protection/>
    </xf>
    <xf numFmtId="171" fontId="3" fillId="0" borderId="12" xfId="42" applyFont="1" applyFill="1" applyBorder="1" applyAlignment="1" applyProtection="1">
      <alignment vertical="top"/>
      <protection/>
    </xf>
    <xf numFmtId="171" fontId="3" fillId="0" borderId="0" xfId="42" applyFont="1" applyFill="1" applyBorder="1" applyAlignment="1" applyProtection="1">
      <alignment vertical="top"/>
      <protection/>
    </xf>
    <xf numFmtId="171" fontId="3" fillId="0" borderId="0" xfId="42" applyFont="1" applyFill="1" applyBorder="1" applyAlignment="1" applyProtection="1">
      <alignment horizontal="center" vertical="top"/>
      <protection/>
    </xf>
    <xf numFmtId="171" fontId="3" fillId="0" borderId="13" xfId="42" applyFont="1" applyFill="1" applyBorder="1" applyAlignment="1" applyProtection="1">
      <alignment vertical="top"/>
      <protection/>
    </xf>
    <xf numFmtId="171" fontId="3" fillId="0" borderId="14" xfId="42" applyFont="1" applyFill="1" applyBorder="1" applyAlignment="1" applyProtection="1">
      <alignment vertical="top"/>
      <protection/>
    </xf>
    <xf numFmtId="171" fontId="3" fillId="0" borderId="15" xfId="42" applyFont="1" applyFill="1" applyBorder="1" applyAlignment="1" applyProtection="1">
      <alignment vertical="top"/>
      <protection/>
    </xf>
    <xf numFmtId="171" fontId="3" fillId="0" borderId="15" xfId="42" applyFont="1" applyFill="1" applyBorder="1" applyAlignment="1" applyProtection="1">
      <alignment horizontal="center" vertical="top"/>
      <protection/>
    </xf>
    <xf numFmtId="171" fontId="3" fillId="0" borderId="16" xfId="42" applyFont="1" applyFill="1" applyBorder="1" applyAlignment="1" applyProtection="1">
      <alignment vertical="top"/>
      <protection/>
    </xf>
    <xf numFmtId="171" fontId="3" fillId="0" borderId="18" xfId="42" applyFont="1" applyFill="1" applyBorder="1" applyAlignment="1" applyProtection="1">
      <alignment vertical="top"/>
      <protection/>
    </xf>
    <xf numFmtId="171" fontId="3" fillId="0" borderId="19" xfId="42" applyFont="1" applyFill="1" applyBorder="1" applyAlignment="1" applyProtection="1">
      <alignment vertical="top"/>
      <protection/>
    </xf>
    <xf numFmtId="43" fontId="3" fillId="0" borderId="12" xfId="0" applyNumberFormat="1" applyFont="1" applyFill="1" applyBorder="1" applyAlignment="1" applyProtection="1">
      <alignment horizontal="center" vertical="top"/>
      <protection/>
    </xf>
    <xf numFmtId="43" fontId="3" fillId="0" borderId="0" xfId="0" applyNumberFormat="1" applyFont="1" applyFill="1" applyBorder="1" applyAlignment="1" applyProtection="1">
      <alignment horizontal="center" vertical="top"/>
      <protection/>
    </xf>
    <xf numFmtId="43" fontId="3" fillId="0" borderId="14" xfId="0" applyNumberFormat="1" applyFont="1" applyFill="1" applyBorder="1" applyAlignment="1" applyProtection="1">
      <alignment horizontal="center" vertical="top"/>
      <protection/>
    </xf>
    <xf numFmtId="43" fontId="3" fillId="0" borderId="15" xfId="0" applyNumberFormat="1" applyFont="1" applyFill="1" applyBorder="1" applyAlignment="1" applyProtection="1">
      <alignment horizontal="center" vertical="top"/>
      <protection/>
    </xf>
    <xf numFmtId="0" fontId="3" fillId="0" borderId="15" xfId="0" applyFont="1" applyFill="1" applyBorder="1" applyAlignment="1" applyProtection="1">
      <alignment vertical="top"/>
      <protection/>
    </xf>
    <xf numFmtId="0" fontId="3" fillId="35" borderId="0" xfId="0" applyFont="1" applyFill="1" applyAlignment="1" applyProtection="1">
      <alignment vertical="top"/>
      <protection/>
    </xf>
    <xf numFmtId="0" fontId="8" fillId="35" borderId="0" xfId="0" applyFont="1" applyFill="1" applyBorder="1" applyAlignment="1" applyProtection="1">
      <alignment vertical="center"/>
      <protection/>
    </xf>
    <xf numFmtId="0" fontId="3" fillId="35" borderId="0" xfId="0" applyFont="1" applyFill="1" applyBorder="1" applyAlignment="1" applyProtection="1" quotePrefix="1">
      <alignment horizontal="center" vertical="center"/>
      <protection/>
    </xf>
    <xf numFmtId="0" fontId="3" fillId="35" borderId="0" xfId="0" applyFont="1" applyFill="1" applyBorder="1" applyAlignment="1" applyProtection="1">
      <alignment vertical="center"/>
      <protection/>
    </xf>
    <xf numFmtId="0" fontId="3" fillId="35" borderId="0" xfId="0" applyFont="1" applyFill="1" applyBorder="1" applyAlignment="1" applyProtection="1">
      <alignment horizontal="center" vertical="center"/>
      <protection/>
    </xf>
    <xf numFmtId="0" fontId="2" fillId="35" borderId="0" xfId="0" applyFont="1" applyFill="1" applyBorder="1" applyAlignment="1" applyProtection="1">
      <alignment horizontal="center" vertical="top"/>
      <protection/>
    </xf>
    <xf numFmtId="0" fontId="3" fillId="35" borderId="0" xfId="0" applyFont="1" applyFill="1" applyBorder="1" applyAlignment="1" applyProtection="1">
      <alignment vertical="top"/>
      <protection/>
    </xf>
    <xf numFmtId="0" fontId="3" fillId="35" borderId="0" xfId="0" applyFont="1" applyFill="1" applyBorder="1" applyAlignment="1" applyProtection="1" quotePrefix="1">
      <alignment vertical="center"/>
      <protection/>
    </xf>
    <xf numFmtId="0" fontId="2" fillId="35" borderId="0" xfId="0" applyFont="1" applyFill="1" applyBorder="1" applyAlignment="1" applyProtection="1">
      <alignment vertical="top"/>
      <protection/>
    </xf>
    <xf numFmtId="0" fontId="3" fillId="0" borderId="20" xfId="0" applyFont="1" applyFill="1" applyBorder="1" applyAlignment="1" applyProtection="1">
      <alignment vertical="top"/>
      <protection/>
    </xf>
    <xf numFmtId="0" fontId="2" fillId="0" borderId="20" xfId="0" applyFont="1" applyFill="1" applyBorder="1" applyAlignment="1" applyProtection="1">
      <alignment vertical="top"/>
      <protection/>
    </xf>
    <xf numFmtId="0" fontId="8" fillId="0" borderId="20" xfId="0" applyFont="1" applyFill="1" applyBorder="1" applyAlignment="1" applyProtection="1">
      <alignment vertical="top"/>
      <protection/>
    </xf>
    <xf numFmtId="0" fontId="3" fillId="0" borderId="20" xfId="0" applyFont="1" applyFill="1" applyBorder="1" applyAlignment="1" applyProtection="1">
      <alignment horizontal="center" vertical="top"/>
      <protection/>
    </xf>
    <xf numFmtId="0" fontId="3" fillId="35" borderId="20" xfId="0" applyFont="1" applyFill="1" applyBorder="1" applyAlignment="1" applyProtection="1">
      <alignment vertical="top"/>
      <protection/>
    </xf>
    <xf numFmtId="0" fontId="2" fillId="35" borderId="20" xfId="0" applyFont="1" applyFill="1" applyBorder="1" applyAlignment="1" applyProtection="1">
      <alignment vertical="top"/>
      <protection/>
    </xf>
    <xf numFmtId="0" fontId="8" fillId="35" borderId="20" xfId="0" applyFont="1" applyFill="1" applyBorder="1" applyAlignment="1" applyProtection="1">
      <alignment vertical="top"/>
      <protection/>
    </xf>
    <xf numFmtId="0" fontId="3" fillId="35" borderId="20" xfId="0" applyFont="1" applyFill="1" applyBorder="1" applyAlignment="1" applyProtection="1">
      <alignment horizontal="center" vertical="top"/>
      <protection/>
    </xf>
    <xf numFmtId="4" fontId="3" fillId="0" borderId="20" xfId="0" applyNumberFormat="1" applyFont="1" applyFill="1" applyBorder="1" applyAlignment="1" applyProtection="1">
      <alignment vertical="top"/>
      <protection/>
    </xf>
    <xf numFmtId="4" fontId="3" fillId="0" borderId="20" xfId="0" applyNumberFormat="1" applyFont="1" applyFill="1" applyBorder="1" applyAlignment="1" applyProtection="1">
      <alignment horizontal="center" vertical="top"/>
      <protection/>
    </xf>
    <xf numFmtId="0" fontId="2" fillId="0" borderId="0" xfId="0" applyFont="1" applyFill="1" applyAlignment="1" applyProtection="1" quotePrefix="1">
      <alignment vertical="top"/>
      <protection/>
    </xf>
    <xf numFmtId="188" fontId="3" fillId="0" borderId="0" xfId="0" applyNumberFormat="1" applyFont="1" applyFill="1" applyAlignment="1" applyProtection="1">
      <alignment horizontal="right" vertical="top"/>
      <protection/>
    </xf>
    <xf numFmtId="188" fontId="3" fillId="33" borderId="0" xfId="0" applyNumberFormat="1" applyFont="1" applyFill="1" applyBorder="1" applyAlignment="1" applyProtection="1">
      <alignment horizontal="right" vertical="center"/>
      <protection/>
    </xf>
    <xf numFmtId="0" fontId="55" fillId="0" borderId="0" xfId="0" applyFont="1" applyAlignment="1">
      <alignment/>
    </xf>
    <xf numFmtId="0" fontId="53" fillId="0" borderId="0" xfId="0" applyFont="1" applyAlignment="1">
      <alignment/>
    </xf>
    <xf numFmtId="0" fontId="56" fillId="0" borderId="0" xfId="0" applyFont="1" applyAlignment="1">
      <alignment/>
    </xf>
    <xf numFmtId="170" fontId="0" fillId="0" borderId="0" xfId="44" applyFont="1" applyAlignment="1">
      <alignment/>
    </xf>
    <xf numFmtId="170" fontId="0" fillId="0" borderId="21" xfId="44" applyFont="1" applyBorder="1" applyAlignment="1">
      <alignment/>
    </xf>
    <xf numFmtId="189" fontId="3" fillId="35" borderId="22" xfId="0" applyNumberFormat="1" applyFont="1" applyFill="1" applyBorder="1" applyAlignment="1" applyProtection="1">
      <alignment horizontal="right" vertical="center"/>
      <protection/>
    </xf>
    <xf numFmtId="0" fontId="8" fillId="33" borderId="0" xfId="0" applyFont="1" applyFill="1" applyBorder="1" applyAlignment="1" applyProtection="1">
      <alignment horizontal="left" vertical="top" wrapText="1"/>
      <protection/>
    </xf>
    <xf numFmtId="0" fontId="8" fillId="33" borderId="13" xfId="0" applyFont="1" applyFill="1" applyBorder="1" applyAlignment="1" applyProtection="1">
      <alignment horizontal="left" vertical="top" wrapText="1"/>
      <protection/>
    </xf>
    <xf numFmtId="171" fontId="8" fillId="0" borderId="14" xfId="42" applyFont="1" applyFill="1" applyBorder="1" applyAlignment="1" applyProtection="1">
      <alignment horizontal="center" vertical="top"/>
      <protection/>
    </xf>
    <xf numFmtId="171" fontId="8" fillId="0" borderId="15" xfId="42" applyFont="1" applyFill="1" applyBorder="1" applyAlignment="1" applyProtection="1">
      <alignment horizontal="center" vertical="top"/>
      <protection/>
    </xf>
    <xf numFmtId="171" fontId="8" fillId="0" borderId="16" xfId="42" applyFont="1" applyFill="1" applyBorder="1" applyAlignment="1" applyProtection="1">
      <alignment horizontal="center" vertical="top"/>
      <protection/>
    </xf>
    <xf numFmtId="0" fontId="9" fillId="35" borderId="10" xfId="0" applyFont="1" applyFill="1" applyBorder="1" applyAlignment="1" applyProtection="1">
      <alignment horizontal="center" vertical="center"/>
      <protection/>
    </xf>
    <xf numFmtId="0" fontId="9" fillId="35" borderId="11" xfId="0" applyFont="1" applyFill="1" applyBorder="1" applyAlignment="1" applyProtection="1">
      <alignment horizontal="center" vertical="center"/>
      <protection/>
    </xf>
    <xf numFmtId="0" fontId="9" fillId="35" borderId="23" xfId="0" applyFont="1" applyFill="1" applyBorder="1" applyAlignment="1" applyProtection="1">
      <alignment horizontal="center" vertical="center"/>
      <protection/>
    </xf>
    <xf numFmtId="0" fontId="6" fillId="33" borderId="0" xfId="0" applyFont="1" applyFill="1" applyBorder="1" applyAlignment="1" applyProtection="1">
      <alignment horizontal="center" vertical="center"/>
      <protection/>
    </xf>
    <xf numFmtId="188" fontId="6" fillId="35" borderId="10" xfId="44" applyNumberFormat="1" applyFont="1" applyFill="1" applyBorder="1" applyAlignment="1" applyProtection="1">
      <alignment horizontal="right" vertical="center"/>
      <protection/>
    </xf>
    <xf numFmtId="188" fontId="6" fillId="35" borderId="23" xfId="44" applyNumberFormat="1" applyFont="1" applyFill="1" applyBorder="1" applyAlignment="1" applyProtection="1">
      <alignment horizontal="right" vertical="center"/>
      <protection/>
    </xf>
    <xf numFmtId="172" fontId="6" fillId="35" borderId="10" xfId="42" applyNumberFormat="1" applyFont="1" applyFill="1" applyBorder="1" applyAlignment="1" applyProtection="1">
      <alignment horizontal="right" vertical="center"/>
      <protection/>
    </xf>
    <xf numFmtId="172" fontId="6" fillId="35" borderId="23" xfId="42" applyNumberFormat="1" applyFont="1" applyFill="1" applyBorder="1" applyAlignment="1" applyProtection="1">
      <alignment horizontal="right" vertical="center"/>
      <protection/>
    </xf>
    <xf numFmtId="9" fontId="6" fillId="35" borderId="10" xfId="59" applyFont="1" applyFill="1" applyBorder="1" applyAlignment="1" applyProtection="1">
      <alignment horizontal="right" vertical="center"/>
      <protection/>
    </xf>
    <xf numFmtId="9" fontId="6" fillId="35" borderId="23" xfId="59" applyFont="1" applyFill="1" applyBorder="1" applyAlignment="1" applyProtection="1">
      <alignment horizontal="right" vertical="center"/>
      <protection/>
    </xf>
    <xf numFmtId="175" fontId="6" fillId="35" borderId="10" xfId="44" applyNumberFormat="1" applyFont="1" applyFill="1" applyBorder="1" applyAlignment="1" applyProtection="1">
      <alignment horizontal="center" vertical="center"/>
      <protection/>
    </xf>
    <xf numFmtId="175" fontId="6" fillId="35" borderId="23" xfId="44" applyNumberFormat="1" applyFont="1" applyFill="1" applyBorder="1" applyAlignment="1" applyProtection="1">
      <alignment horizontal="center" vertical="center"/>
      <protection/>
    </xf>
    <xf numFmtId="0" fontId="4" fillId="33" borderId="11" xfId="0" applyFont="1" applyFill="1" applyBorder="1" applyAlignment="1" applyProtection="1">
      <alignment horizontal="center" vertical="center" wrapText="1"/>
      <protection/>
    </xf>
    <xf numFmtId="0" fontId="4" fillId="33" borderId="23" xfId="0" applyFont="1" applyFill="1" applyBorder="1" applyAlignment="1" applyProtection="1">
      <alignment horizontal="center" vertical="center" wrapText="1"/>
      <protection/>
    </xf>
    <xf numFmtId="0" fontId="7" fillId="34" borderId="10" xfId="0" applyFont="1" applyFill="1" applyBorder="1" applyAlignment="1" applyProtection="1">
      <alignment horizontal="center" vertical="top"/>
      <protection locked="0"/>
    </xf>
    <xf numFmtId="0" fontId="7" fillId="34" borderId="11" xfId="0" applyFont="1" applyFill="1" applyBorder="1" applyAlignment="1" applyProtection="1">
      <alignment horizontal="center" vertical="top"/>
      <protection locked="0"/>
    </xf>
    <xf numFmtId="0" fontId="7" fillId="34" borderId="23" xfId="0" applyFont="1" applyFill="1" applyBorder="1" applyAlignment="1" applyProtection="1">
      <alignment horizontal="center" vertical="top"/>
      <protection locked="0"/>
    </xf>
    <xf numFmtId="177" fontId="7" fillId="34" borderId="10" xfId="0" applyNumberFormat="1" applyFont="1" applyFill="1" applyBorder="1" applyAlignment="1" applyProtection="1">
      <alignment horizontal="center" vertical="top"/>
      <protection locked="0"/>
    </xf>
    <xf numFmtId="177" fontId="7" fillId="34" borderId="11" xfId="0" applyNumberFormat="1" applyFont="1" applyFill="1" applyBorder="1" applyAlignment="1" applyProtection="1">
      <alignment horizontal="center" vertical="top"/>
      <protection locked="0"/>
    </xf>
    <xf numFmtId="177" fontId="7" fillId="34" borderId="23" xfId="0" applyNumberFormat="1" applyFont="1" applyFill="1" applyBorder="1" applyAlignment="1" applyProtection="1">
      <alignment horizontal="center" vertical="top"/>
      <protection locked="0"/>
    </xf>
    <xf numFmtId="0" fontId="0" fillId="0" borderId="0" xfId="0" applyAlignment="1" quotePrefix="1">
      <alignment horizontal="left" vertical="top" wrapText="1"/>
    </xf>
    <xf numFmtId="0" fontId="0" fillId="0" borderId="0" xfId="0" applyAlignment="1">
      <alignment horizontal="lef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'FF Solar Simulator'!$D$152</c:f>
        </c:strRef>
      </c:tx>
      <c:layout>
        <c:manualLayout>
          <c:xMode val="factor"/>
          <c:yMode val="factor"/>
          <c:x val="-0.0025"/>
          <c:y val="-0.01"/>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075"/>
          <c:y val="0.1345"/>
          <c:w val="0.9855"/>
          <c:h val="0.87"/>
        </c:manualLayout>
      </c:layout>
      <c:barChart>
        <c:barDir val="col"/>
        <c:grouping val="stacked"/>
        <c:varyColors val="0"/>
        <c:ser>
          <c:idx val="0"/>
          <c:order val="0"/>
          <c:tx>
            <c:strRef>
              <c:f>'FF Solar Simulator'!$I$137</c:f>
              <c:strCache>
                <c:ptCount val="1"/>
                <c:pt idx="0">
                  <c:v>South - 4/12</c:v>
                </c:pt>
              </c:strCache>
            </c:strRef>
          </c:tx>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'FF Solar Simulator'!$C$138:$C$149</c:f>
              <c:strCache/>
            </c:strRef>
          </c:cat>
          <c:val>
            <c:numRef>
              <c:f>'FF Solar Simulator'!$I$138:$I$149</c:f>
              <c:numCache/>
            </c:numRef>
          </c:val>
        </c:ser>
        <c:ser>
          <c:idx val="2"/>
          <c:order val="1"/>
          <c:tx>
            <c:strRef>
              <c:f>'FF Solar Simulator'!$J$137</c:f>
              <c:strCache>
                <c:ptCount val="1"/>
                <c:pt idx="0">
                  <c:v>West - 1/12</c:v>
                </c:pt>
              </c:strCache>
            </c:strRef>
          </c:tx>
          <c:spPr>
            <a:gradFill rotWithShape="1">
              <a:gsLst>
                <a:gs pos="0">
                  <a:srgbClr val="769535"/>
                </a:gs>
                <a:gs pos="80000">
                  <a:srgbClr val="9BC348"/>
                </a:gs>
                <a:gs pos="100000">
                  <a:srgbClr val="9CC746"/>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'FF Solar Simulator'!$C$138:$C$149</c:f>
              <c:strCache/>
            </c:strRef>
          </c:cat>
          <c:val>
            <c:numRef>
              <c:f>'FF Solar Simulator'!$J$138:$J$149</c:f>
              <c:numCache/>
            </c:numRef>
          </c:val>
        </c:ser>
        <c:ser>
          <c:idx val="3"/>
          <c:order val="2"/>
          <c:tx>
            <c:strRef>
              <c:f>'FF Solar Simulator'!$K$137</c:f>
              <c:strCache>
                <c:ptCount val="1"/>
                <c:pt idx="0">
                  <c:v>East - 1/12</c:v>
                </c:pt>
              </c:strCache>
            </c:strRef>
          </c:tx>
          <c:spPr>
            <a:gradFill rotWithShape="1">
              <a:gsLst>
                <a:gs pos="0">
                  <a:srgbClr val="5D417E"/>
                </a:gs>
                <a:gs pos="80000">
                  <a:srgbClr val="7B58A6"/>
                </a:gs>
                <a:gs pos="100000">
                  <a:srgbClr val="7B57A8"/>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'FF Solar Simulator'!$C$138:$C$149</c:f>
              <c:strCache/>
            </c:strRef>
          </c:cat>
          <c:val>
            <c:numRef>
              <c:f>'FF Solar Simulator'!$K$138:$K$149</c:f>
              <c:numCache/>
            </c:numRef>
          </c:val>
        </c:ser>
        <c:overlap val="100"/>
        <c:axId val="22733986"/>
        <c:axId val="3279283"/>
      </c:barChart>
      <c:lineChart>
        <c:grouping val="standard"/>
        <c:varyColors val="0"/>
        <c:ser>
          <c:idx val="1"/>
          <c:order val="3"/>
          <c:tx>
            <c:strRef>
              <c:f>'FF Solar Simulator'!$M$137</c:f>
              <c:strCache>
                <c:ptCount val="1"/>
                <c:pt idx="0">
                  <c:v>Loan Payment</c:v>
                </c:pt>
              </c:strCache>
            </c:strRef>
          </c:tx>
          <c:spPr>
            <a:ln w="38100">
              <a:solidFill>
                <a:srgbClr val="993366"/>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square"/>
            <c:size val="9"/>
            <c:spPr>
              <a:solidFill>
                <a:srgbClr val="993300"/>
              </a:solidFill>
              <a:ln>
                <a:solidFill>
                  <a:srgbClr val="993366"/>
                </a:solidFill>
              </a:ln>
              <a:effectLst>
                <a:outerShdw dist="35921" dir="2700000" algn="br">
                  <a:prstClr val="black"/>
                </a:outerShdw>
              </a:effectLst>
            </c:spPr>
          </c:marker>
          <c:dPt>
            <c:idx val="8"/>
            <c:spPr>
              <a:gradFill rotWithShape="1">
                <a:gsLst>
                  <a:gs pos="0">
                    <a:srgbClr val="9B2D2A"/>
                  </a:gs>
                  <a:gs pos="80000">
                    <a:srgbClr val="CB3D3A"/>
                  </a:gs>
                  <a:gs pos="100000">
                    <a:srgbClr val="CE3B37"/>
                  </a:gs>
                </a:gsLst>
                <a:lin ang="5400000" scaled="1"/>
              </a:gradFill>
              <a:ln w="38100">
                <a:solidFill>
                  <a:srgbClr val="993366"/>
                </a:solidFill>
              </a:ln>
              <a:effectLst>
                <a:outerShdw dist="35921" dir="2700000" algn="br">
                  <a:prstClr val="black"/>
                </a:outerShdw>
              </a:effectLst>
            </c:spPr>
            <c:marker>
              <c:size val="9"/>
              <c:spPr>
                <a:solidFill>
                  <a:srgbClr val="993300"/>
                </a:solidFill>
                <a:ln>
                  <a:solidFill>
                    <a:srgbClr val="993366"/>
                  </a:solidFill>
                </a:ln>
                <a:effectLst>
                  <a:outerShdw dist="35921" dir="2700000" algn="br">
                    <a:prstClr val="black"/>
                  </a:outerShdw>
                </a:effectLst>
              </c:spPr>
            </c:marker>
          </c:dPt>
          <c:cat>
            <c:strRef>
              <c:f>'FF Solar Simulator'!$C$138:$C$149</c:f>
              <c:strCache/>
            </c:strRef>
          </c:cat>
          <c:val>
            <c:numRef>
              <c:f>'FF Solar Simulator'!$M$138:$M$149</c:f>
              <c:numCache/>
            </c:numRef>
          </c:val>
          <c:smooth val="0"/>
        </c:ser>
        <c:axId val="22733986"/>
        <c:axId val="3279283"/>
      </c:lineChart>
      <c:catAx>
        <c:axId val="22733986"/>
        <c:scaling>
          <c:orientation val="minMax"/>
        </c:scaling>
        <c:axPos val="b"/>
        <c:delete val="0"/>
        <c:numFmt formatCode="General" sourceLinked="1"/>
        <c:majorTickMark val="out"/>
        <c:minorTickMark val="none"/>
        <c:tickLblPos val="nextTo"/>
        <c:spPr>
          <a:ln w="3175">
            <a:solidFill>
              <a:srgbClr val="808080"/>
            </a:solidFill>
          </a:ln>
        </c:spPr>
        <c:crossAx val="3279283"/>
        <c:crosses val="autoZero"/>
        <c:auto val="1"/>
        <c:lblOffset val="100"/>
        <c:tickLblSkip val="1"/>
        <c:noMultiLvlLbl val="0"/>
      </c:catAx>
      <c:valAx>
        <c:axId val="3279283"/>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2733986"/>
        <c:crossesAt val="1"/>
        <c:crossBetween val="between"/>
        <c:dispUnits/>
      </c:valAx>
      <c:spPr>
        <a:solidFill>
          <a:srgbClr val="FFFFFF"/>
        </a:solidFill>
        <a:ln w="3175">
          <a:noFill/>
        </a:ln>
      </c:spPr>
    </c:plotArea>
    <c:legend>
      <c:legendPos val="r"/>
      <c:layout>
        <c:manualLayout>
          <c:xMode val="edge"/>
          <c:yMode val="edge"/>
          <c:x val="0.803"/>
          <c:y val="0.0605"/>
          <c:w val="0.17775"/>
          <c:h val="0.31975"/>
        </c:manualLayout>
      </c:layout>
      <c:overlay val="0"/>
      <c:spPr>
        <a:solidFill>
          <a:srgbClr val="FFFFFF"/>
        </a:solid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jpeg" /><Relationship Id="rId3"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666750</xdr:colOff>
      <xdr:row>66</xdr:row>
      <xdr:rowOff>95250</xdr:rowOff>
    </xdr:from>
    <xdr:ext cx="7534275" cy="2914650"/>
    <xdr:graphicFrame>
      <xdr:nvGraphicFramePr>
        <xdr:cNvPr id="1" name="Chart 1"/>
        <xdr:cNvGraphicFramePr/>
      </xdr:nvGraphicFramePr>
      <xdr:xfrm>
        <a:off x="942975" y="9848850"/>
        <a:ext cx="7534275" cy="2914650"/>
      </xdr:xfrm>
      <a:graphic>
        <a:graphicData uri="http://schemas.openxmlformats.org/drawingml/2006/chart">
          <c:chart xmlns:c="http://schemas.openxmlformats.org/drawingml/2006/chart" r:id="rId1"/>
        </a:graphicData>
      </a:graphic>
    </xdr:graphicFrame>
    <xdr:clientData/>
  </xdr:oneCellAnchor>
  <xdr:twoCellAnchor editAs="oneCell">
    <xdr:from>
      <xdr:col>11</xdr:col>
      <xdr:colOff>200025</xdr:colOff>
      <xdr:row>1</xdr:row>
      <xdr:rowOff>76200</xdr:rowOff>
    </xdr:from>
    <xdr:to>
      <xdr:col>17</xdr:col>
      <xdr:colOff>514350</xdr:colOff>
      <xdr:row>76</xdr:row>
      <xdr:rowOff>38100</xdr:rowOff>
    </xdr:to>
    <xdr:pic>
      <xdr:nvPicPr>
        <xdr:cNvPr id="2" name="Picture 2"/>
        <xdr:cNvPicPr preferRelativeResize="1">
          <a:picLocks noChangeAspect="1"/>
        </xdr:cNvPicPr>
      </xdr:nvPicPr>
      <xdr:blipFill>
        <a:blip r:embed="rId2"/>
        <a:stretch>
          <a:fillRect/>
        </a:stretch>
      </xdr:blipFill>
      <xdr:spPr>
        <a:xfrm>
          <a:off x="9705975" y="152400"/>
          <a:ext cx="4305300" cy="11639550"/>
        </a:xfrm>
        <a:prstGeom prst="rect">
          <a:avLst/>
        </a:prstGeom>
        <a:noFill/>
        <a:ln w="9525" cmpd="sng">
          <a:noFill/>
        </a:ln>
      </xdr:spPr>
    </xdr:pic>
    <xdr:clientData/>
  </xdr:twoCellAnchor>
  <xdr:twoCellAnchor editAs="oneCell">
    <xdr:from>
      <xdr:col>2</xdr:col>
      <xdr:colOff>0</xdr:colOff>
      <xdr:row>1</xdr:row>
      <xdr:rowOff>219075</xdr:rowOff>
    </xdr:from>
    <xdr:to>
      <xdr:col>4</xdr:col>
      <xdr:colOff>581025</xdr:colOff>
      <xdr:row>1</xdr:row>
      <xdr:rowOff>1381125</xdr:rowOff>
    </xdr:to>
    <xdr:pic>
      <xdr:nvPicPr>
        <xdr:cNvPr id="3" name="Picture 4"/>
        <xdr:cNvPicPr preferRelativeResize="1">
          <a:picLocks noChangeAspect="1"/>
        </xdr:cNvPicPr>
      </xdr:nvPicPr>
      <xdr:blipFill>
        <a:blip r:embed="rId3"/>
        <a:stretch>
          <a:fillRect/>
        </a:stretch>
      </xdr:blipFill>
      <xdr:spPr>
        <a:xfrm>
          <a:off x="276225" y="295275"/>
          <a:ext cx="3152775" cy="11620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
    <outlinePr summaryBelow="0" summaryRight="0"/>
    <pageSetUpPr fitToPage="1"/>
  </sheetPr>
  <dimension ref="A2:BK202"/>
  <sheetViews>
    <sheetView showGridLines="0" tabSelected="1" zoomScale="85" zoomScaleNormal="85" zoomScalePageLayoutView="0" workbookViewId="0" topLeftCell="A1">
      <selection activeCell="J60" sqref="J60"/>
    </sheetView>
  </sheetViews>
  <sheetFormatPr defaultColWidth="9.140625" defaultRowHeight="15" outlineLevelRow="1"/>
  <cols>
    <col min="1" max="1" width="1.421875" style="2" customWidth="1"/>
    <col min="2" max="2" width="2.7109375" style="1" customWidth="1"/>
    <col min="3" max="3" width="19.140625" style="2" customWidth="1"/>
    <col min="4" max="4" width="19.421875" style="2" customWidth="1"/>
    <col min="5" max="5" width="10.7109375" style="3" customWidth="1"/>
    <col min="6" max="6" width="23.57421875" style="2" customWidth="1"/>
    <col min="7" max="7" width="7.28125" style="3" customWidth="1"/>
    <col min="8" max="8" width="19.28125" style="2" customWidth="1"/>
    <col min="9" max="9" width="7.7109375" style="3" customWidth="1"/>
    <col min="10" max="10" width="28.57421875" style="2" customWidth="1"/>
    <col min="11" max="11" width="2.7109375" style="2" customWidth="1"/>
    <col min="12" max="12" width="9.7109375" style="2" customWidth="1"/>
    <col min="13" max="13" width="16.421875" style="2" bestFit="1" customWidth="1"/>
    <col min="14" max="21" width="8.421875" style="2" customWidth="1"/>
    <col min="22" max="16384" width="9.140625" style="2" customWidth="1"/>
  </cols>
  <sheetData>
    <row r="1" ht="6" customHeight="1"/>
    <row r="2" spans="2:11" ht="130.5" customHeight="1">
      <c r="B2" s="4"/>
      <c r="C2" s="5"/>
      <c r="D2" s="5"/>
      <c r="E2" s="5"/>
      <c r="F2" s="126" t="s">
        <v>202</v>
      </c>
      <c r="G2" s="126"/>
      <c r="H2" s="126"/>
      <c r="I2" s="126"/>
      <c r="J2" s="126"/>
      <c r="K2" s="127"/>
    </row>
    <row r="3" spans="2:11" ht="7.5" customHeight="1">
      <c r="B3" s="6"/>
      <c r="C3" s="7"/>
      <c r="D3" s="7"/>
      <c r="E3" s="8"/>
      <c r="F3" s="7"/>
      <c r="G3" s="8"/>
      <c r="H3" s="7"/>
      <c r="I3" s="8"/>
      <c r="J3" s="7"/>
      <c r="K3" s="9"/>
    </row>
    <row r="4" spans="2:11" s="13" customFormat="1" ht="18.75" collapsed="1">
      <c r="B4" s="6"/>
      <c r="C4" s="10" t="s">
        <v>56</v>
      </c>
      <c r="D4" s="128" t="s">
        <v>96</v>
      </c>
      <c r="E4" s="129"/>
      <c r="F4" s="130"/>
      <c r="G4" s="11"/>
      <c r="H4" s="10" t="s">
        <v>59</v>
      </c>
      <c r="I4" s="128" t="s">
        <v>97</v>
      </c>
      <c r="J4" s="130"/>
      <c r="K4" s="12"/>
    </row>
    <row r="5" spans="2:11" ht="15.75" customHeight="1" hidden="1" outlineLevel="1">
      <c r="B5" s="6"/>
      <c r="C5" s="14" t="s">
        <v>62</v>
      </c>
      <c r="D5" s="15"/>
      <c r="E5" s="16"/>
      <c r="F5" s="15"/>
      <c r="G5" s="16"/>
      <c r="H5" s="7"/>
      <c r="I5" s="17"/>
      <c r="J5" s="18"/>
      <c r="K5" s="9"/>
    </row>
    <row r="6" spans="2:11" ht="15.75" customHeight="1" hidden="1" outlineLevel="1">
      <c r="B6" s="6"/>
      <c r="C6" s="19" t="s">
        <v>55</v>
      </c>
      <c r="D6" s="15"/>
      <c r="E6" s="16"/>
      <c r="F6" s="15"/>
      <c r="G6" s="16"/>
      <c r="H6" s="7"/>
      <c r="I6" s="17"/>
      <c r="J6" s="18"/>
      <c r="K6" s="9"/>
    </row>
    <row r="7" spans="2:11" ht="15.75" customHeight="1" hidden="1" outlineLevel="1">
      <c r="B7" s="6"/>
      <c r="C7" s="19" t="s">
        <v>95</v>
      </c>
      <c r="D7" s="15"/>
      <c r="E7" s="16"/>
      <c r="F7" s="15"/>
      <c r="G7" s="16"/>
      <c r="H7" s="7"/>
      <c r="I7" s="17"/>
      <c r="J7" s="18"/>
      <c r="K7" s="9"/>
    </row>
    <row r="8" spans="2:11" ht="15.75" customHeight="1" hidden="1" outlineLevel="1">
      <c r="B8" s="6"/>
      <c r="C8" s="19" t="s">
        <v>96</v>
      </c>
      <c r="D8" s="15"/>
      <c r="E8" s="16"/>
      <c r="F8" s="15"/>
      <c r="G8" s="16"/>
      <c r="H8" s="7"/>
      <c r="I8" s="17"/>
      <c r="J8" s="18"/>
      <c r="K8" s="9"/>
    </row>
    <row r="9" spans="2:11" s="13" customFormat="1" ht="18.75">
      <c r="B9" s="6"/>
      <c r="C9" s="10" t="s">
        <v>57</v>
      </c>
      <c r="D9" s="128"/>
      <c r="E9" s="129"/>
      <c r="F9" s="130"/>
      <c r="G9" s="11"/>
      <c r="H9" s="10" t="s">
        <v>60</v>
      </c>
      <c r="I9" s="128"/>
      <c r="J9" s="130"/>
      <c r="K9" s="12"/>
    </row>
    <row r="10" spans="2:11" s="13" customFormat="1" ht="18.75" collapsed="1">
      <c r="B10" s="6"/>
      <c r="C10" s="10" t="s">
        <v>58</v>
      </c>
      <c r="D10" s="131"/>
      <c r="E10" s="132"/>
      <c r="F10" s="133"/>
      <c r="G10" s="20"/>
      <c r="H10" s="10" t="s">
        <v>61</v>
      </c>
      <c r="I10" s="128"/>
      <c r="J10" s="130"/>
      <c r="K10" s="12"/>
    </row>
    <row r="11" spans="2:27" ht="15.75" customHeight="1" hidden="1" outlineLevel="1">
      <c r="B11" s="6"/>
      <c r="C11" s="14" t="s">
        <v>63</v>
      </c>
      <c r="D11" s="16"/>
      <c r="E11" s="16"/>
      <c r="F11" s="16"/>
      <c r="G11" s="16"/>
      <c r="H11" s="7"/>
      <c r="I11" s="16"/>
      <c r="J11" s="7"/>
      <c r="K11" s="9"/>
      <c r="AA11" s="19" t="s">
        <v>64</v>
      </c>
    </row>
    <row r="12" spans="2:27" ht="15.75" customHeight="1" hidden="1" outlineLevel="1">
      <c r="B12" s="6"/>
      <c r="C12" s="14"/>
      <c r="D12" s="14"/>
      <c r="E12" s="14"/>
      <c r="F12" s="14"/>
      <c r="G12" s="14"/>
      <c r="H12" s="14"/>
      <c r="I12" s="19"/>
      <c r="J12" s="7"/>
      <c r="K12" s="9"/>
      <c r="AA12" s="19"/>
    </row>
    <row r="13" spans="2:27" ht="15.75" customHeight="1" hidden="1" outlineLevel="1">
      <c r="B13" s="6"/>
      <c r="C13" s="19"/>
      <c r="D13" s="19"/>
      <c r="E13" s="19"/>
      <c r="F13" s="19"/>
      <c r="G13" s="19"/>
      <c r="H13" s="19"/>
      <c r="I13" s="19"/>
      <c r="J13" s="7"/>
      <c r="K13" s="9"/>
      <c r="AA13" s="19"/>
    </row>
    <row r="14" spans="2:27" ht="15.75" customHeight="1" hidden="1" outlineLevel="1">
      <c r="B14" s="6"/>
      <c r="C14" s="19"/>
      <c r="D14" s="19"/>
      <c r="E14" s="19"/>
      <c r="F14" s="19"/>
      <c r="G14" s="19"/>
      <c r="H14" s="19"/>
      <c r="I14" s="19"/>
      <c r="J14" s="7"/>
      <c r="K14" s="9"/>
      <c r="AA14" s="19"/>
    </row>
    <row r="15" spans="2:27" ht="15.75" customHeight="1" hidden="1" outlineLevel="1">
      <c r="B15" s="6"/>
      <c r="C15" s="19"/>
      <c r="D15" s="19"/>
      <c r="E15" s="19"/>
      <c r="F15" s="19"/>
      <c r="G15" s="19"/>
      <c r="H15" s="19"/>
      <c r="I15" s="19"/>
      <c r="J15" s="7"/>
      <c r="K15" s="9"/>
      <c r="AA15" s="19"/>
    </row>
    <row r="16" spans="2:27" ht="15.75" customHeight="1" hidden="1" outlineLevel="1">
      <c r="B16" s="6"/>
      <c r="C16" s="19"/>
      <c r="D16" s="19"/>
      <c r="E16" s="19"/>
      <c r="F16" s="19"/>
      <c r="G16" s="19"/>
      <c r="H16" s="19"/>
      <c r="I16" s="19"/>
      <c r="J16" s="7"/>
      <c r="K16" s="9"/>
      <c r="AA16" s="19"/>
    </row>
    <row r="17" spans="2:27" ht="15.75" customHeight="1" hidden="1" outlineLevel="1">
      <c r="B17" s="6"/>
      <c r="C17" s="19"/>
      <c r="D17" s="19"/>
      <c r="E17" s="19"/>
      <c r="F17" s="19"/>
      <c r="G17" s="19"/>
      <c r="H17" s="19"/>
      <c r="I17" s="19"/>
      <c r="J17" s="7"/>
      <c r="K17" s="9"/>
      <c r="AA17" s="19"/>
    </row>
    <row r="18" spans="2:27" ht="15.75" customHeight="1" hidden="1" outlineLevel="1">
      <c r="B18" s="6"/>
      <c r="C18" s="19"/>
      <c r="D18" s="19"/>
      <c r="E18" s="19"/>
      <c r="F18" s="19"/>
      <c r="G18" s="19"/>
      <c r="H18" s="19"/>
      <c r="I18" s="19"/>
      <c r="J18" s="7"/>
      <c r="K18" s="9"/>
      <c r="AA18" s="19"/>
    </row>
    <row r="19" spans="2:27" ht="15.75" customHeight="1" hidden="1" outlineLevel="1">
      <c r="B19" s="6"/>
      <c r="C19" s="19"/>
      <c r="D19" s="19"/>
      <c r="E19" s="19"/>
      <c r="F19" s="19"/>
      <c r="G19" s="19"/>
      <c r="H19" s="19"/>
      <c r="I19" s="19"/>
      <c r="J19" s="7"/>
      <c r="K19" s="9"/>
      <c r="AA19" s="19"/>
    </row>
    <row r="20" spans="2:27" ht="15.75" customHeight="1" hidden="1" outlineLevel="1">
      <c r="B20" s="6"/>
      <c r="C20" s="19"/>
      <c r="D20" s="19"/>
      <c r="E20" s="19"/>
      <c r="F20" s="19"/>
      <c r="G20" s="19"/>
      <c r="H20" s="19"/>
      <c r="I20" s="19"/>
      <c r="J20" s="7"/>
      <c r="K20" s="9"/>
      <c r="AA20" s="19"/>
    </row>
    <row r="21" spans="2:27" ht="15.75" customHeight="1" hidden="1" outlineLevel="1">
      <c r="B21" s="6"/>
      <c r="C21" s="19"/>
      <c r="D21" s="19"/>
      <c r="E21" s="19"/>
      <c r="F21" s="19"/>
      <c r="G21" s="19"/>
      <c r="H21" s="19"/>
      <c r="I21" s="19"/>
      <c r="J21" s="7"/>
      <c r="K21" s="9"/>
      <c r="AA21" s="19"/>
    </row>
    <row r="22" spans="2:27" ht="15.75" customHeight="1" hidden="1" outlineLevel="1">
      <c r="B22" s="6"/>
      <c r="C22" s="19"/>
      <c r="D22" s="19"/>
      <c r="E22" s="19"/>
      <c r="F22" s="19"/>
      <c r="G22" s="19"/>
      <c r="H22" s="19"/>
      <c r="I22" s="19"/>
      <c r="J22" s="7"/>
      <c r="K22" s="9"/>
      <c r="AA22" s="19"/>
    </row>
    <row r="23" spans="2:11" ht="15.75" customHeight="1" hidden="1" outlineLevel="1">
      <c r="B23" s="6"/>
      <c r="C23" s="19"/>
      <c r="D23" s="19"/>
      <c r="E23" s="19"/>
      <c r="F23" s="19"/>
      <c r="G23" s="19"/>
      <c r="H23" s="19"/>
      <c r="I23" s="19"/>
      <c r="J23" s="7"/>
      <c r="K23" s="9"/>
    </row>
    <row r="24" spans="2:11" ht="15.75" customHeight="1" hidden="1" outlineLevel="1">
      <c r="B24" s="6"/>
      <c r="C24" s="19"/>
      <c r="D24" s="19"/>
      <c r="E24" s="19"/>
      <c r="F24" s="19"/>
      <c r="G24" s="19"/>
      <c r="H24" s="19"/>
      <c r="I24" s="19"/>
      <c r="J24" s="7"/>
      <c r="K24" s="9"/>
    </row>
    <row r="25" spans="2:11" ht="15.75" customHeight="1" hidden="1" outlineLevel="1">
      <c r="B25" s="6"/>
      <c r="C25" s="16"/>
      <c r="D25" s="16"/>
      <c r="E25" s="16"/>
      <c r="F25" s="16"/>
      <c r="G25" s="16"/>
      <c r="H25" s="19"/>
      <c r="I25" s="16"/>
      <c r="J25" s="7"/>
      <c r="K25" s="9"/>
    </row>
    <row r="26" spans="2:11" ht="7.5" customHeight="1">
      <c r="B26" s="21"/>
      <c r="C26" s="22"/>
      <c r="D26" s="23"/>
      <c r="E26" s="24"/>
      <c r="F26" s="24"/>
      <c r="G26" s="24"/>
      <c r="H26" s="25"/>
      <c r="I26" s="24"/>
      <c r="J26" s="25"/>
      <c r="K26" s="26"/>
    </row>
    <row r="27" spans="2:11" ht="5.25" customHeight="1">
      <c r="B27" s="6"/>
      <c r="C27" s="7"/>
      <c r="D27" s="7"/>
      <c r="E27" s="8"/>
      <c r="F27" s="7"/>
      <c r="G27" s="8"/>
      <c r="H27" s="7"/>
      <c r="I27" s="8"/>
      <c r="J27" s="7"/>
      <c r="K27" s="9"/>
    </row>
    <row r="28" spans="2:11" ht="18.75">
      <c r="B28" s="6"/>
      <c r="C28" s="117" t="s">
        <v>101</v>
      </c>
      <c r="D28" s="117"/>
      <c r="E28" s="117"/>
      <c r="F28" s="117"/>
      <c r="G28" s="117"/>
      <c r="H28" s="117"/>
      <c r="I28" s="117"/>
      <c r="J28" s="117"/>
      <c r="K28" s="9"/>
    </row>
    <row r="29" spans="2:11" ht="7.5" customHeight="1" collapsed="1">
      <c r="B29" s="6"/>
      <c r="C29" s="27"/>
      <c r="D29" s="28"/>
      <c r="E29" s="30"/>
      <c r="F29" s="29"/>
      <c r="G29" s="30"/>
      <c r="H29" s="29"/>
      <c r="I29" s="15"/>
      <c r="J29" s="7"/>
      <c r="K29" s="9"/>
    </row>
    <row r="30" spans="2:11" ht="18.75" collapsed="1">
      <c r="B30" s="6"/>
      <c r="C30" s="27"/>
      <c r="D30" s="34" t="s">
        <v>99</v>
      </c>
      <c r="E30" s="30"/>
      <c r="F30" s="34" t="s">
        <v>100</v>
      </c>
      <c r="G30" s="30"/>
      <c r="H30" s="34" t="s">
        <v>87</v>
      </c>
      <c r="I30" s="30"/>
      <c r="J30" s="34" t="s">
        <v>88</v>
      </c>
      <c r="K30" s="9"/>
    </row>
    <row r="31" spans="2:19" s="13" customFormat="1" ht="18.75">
      <c r="B31" s="6"/>
      <c r="C31" s="63" t="s">
        <v>171</v>
      </c>
      <c r="D31" s="32" t="s">
        <v>0</v>
      </c>
      <c r="E31" s="31"/>
      <c r="F31" s="32" t="s">
        <v>158</v>
      </c>
      <c r="G31" s="31"/>
      <c r="H31" s="32">
        <v>40</v>
      </c>
      <c r="I31" s="30"/>
      <c r="J31" s="32">
        <v>60</v>
      </c>
      <c r="K31" s="12"/>
      <c r="S31" s="100"/>
    </row>
    <row r="32" spans="2:11" ht="7.5" customHeight="1">
      <c r="B32" s="6"/>
      <c r="C32" s="35"/>
      <c r="D32" s="28"/>
      <c r="E32" s="30"/>
      <c r="F32" s="29"/>
      <c r="G32" s="30"/>
      <c r="H32" s="29"/>
      <c r="I32" s="30"/>
      <c r="J32" s="7"/>
      <c r="K32" s="9"/>
    </row>
    <row r="33" spans="2:11" ht="18.75">
      <c r="B33" s="6"/>
      <c r="C33" s="63" t="s">
        <v>172</v>
      </c>
      <c r="D33" s="32" t="s">
        <v>5</v>
      </c>
      <c r="E33" s="31"/>
      <c r="F33" s="32" t="s">
        <v>156</v>
      </c>
      <c r="G33" s="31"/>
      <c r="H33" s="32"/>
      <c r="I33" s="30"/>
      <c r="J33" s="32"/>
      <c r="K33" s="9"/>
    </row>
    <row r="34" spans="2:11" ht="7.5" customHeight="1" collapsed="1">
      <c r="B34" s="6"/>
      <c r="C34" s="35"/>
      <c r="D34" s="28"/>
      <c r="E34" s="30"/>
      <c r="F34" s="29"/>
      <c r="G34" s="30"/>
      <c r="H34" s="29"/>
      <c r="I34" s="30"/>
      <c r="J34" s="7"/>
      <c r="K34" s="9"/>
    </row>
    <row r="35" spans="2:11" s="13" customFormat="1" ht="18.75">
      <c r="B35" s="6"/>
      <c r="C35" s="63" t="s">
        <v>173</v>
      </c>
      <c r="D35" s="32" t="s">
        <v>6</v>
      </c>
      <c r="E35" s="31"/>
      <c r="F35" s="32" t="s">
        <v>156</v>
      </c>
      <c r="G35" s="31"/>
      <c r="H35" s="32"/>
      <c r="I35" s="30"/>
      <c r="J35" s="32"/>
      <c r="K35" s="12"/>
    </row>
    <row r="36" spans="2:11" ht="18.75" collapsed="1">
      <c r="B36" s="6"/>
      <c r="C36" s="27"/>
      <c r="D36" s="28"/>
      <c r="E36" s="30"/>
      <c r="F36" s="29"/>
      <c r="G36" s="30"/>
      <c r="H36" s="29"/>
      <c r="I36" s="30"/>
      <c r="J36" s="7"/>
      <c r="K36" s="9"/>
    </row>
    <row r="37" spans="2:11" ht="18.75">
      <c r="B37" s="6"/>
      <c r="C37" s="33"/>
      <c r="D37" s="35" t="s">
        <v>102</v>
      </c>
      <c r="E37" s="30"/>
      <c r="F37" s="37">
        <f>H31*J31+H33*J33+H35*J35</f>
        <v>2400</v>
      </c>
      <c r="G37" s="15"/>
      <c r="H37" s="56" t="s">
        <v>103</v>
      </c>
      <c r="I37" s="27"/>
      <c r="J37" s="27"/>
      <c r="K37" s="9"/>
    </row>
    <row r="38" spans="2:11" ht="7.5" customHeight="1" collapsed="1">
      <c r="B38" s="6"/>
      <c r="C38" s="27"/>
      <c r="D38" s="28"/>
      <c r="E38" s="30"/>
      <c r="F38" s="29"/>
      <c r="G38" s="30"/>
      <c r="H38" s="29"/>
      <c r="I38" s="30"/>
      <c r="J38" s="7"/>
      <c r="K38" s="9"/>
    </row>
    <row r="39" spans="2:11" ht="26.25">
      <c r="B39" s="114" t="s">
        <v>98</v>
      </c>
      <c r="C39" s="115"/>
      <c r="D39" s="115"/>
      <c r="E39" s="115"/>
      <c r="F39" s="115"/>
      <c r="G39" s="115"/>
      <c r="H39" s="115"/>
      <c r="I39" s="115"/>
      <c r="J39" s="115"/>
      <c r="K39" s="116"/>
    </row>
    <row r="40" spans="2:11" ht="7.5" customHeight="1">
      <c r="B40" s="6"/>
      <c r="C40" s="7"/>
      <c r="D40" s="7"/>
      <c r="E40" s="30"/>
      <c r="F40" s="29"/>
      <c r="G40" s="30"/>
      <c r="H40" s="29"/>
      <c r="I40" s="30"/>
      <c r="J40" s="7"/>
      <c r="K40" s="9"/>
    </row>
    <row r="41" spans="2:11" ht="18.75">
      <c r="B41" s="6"/>
      <c r="C41" s="7"/>
      <c r="D41" s="7"/>
      <c r="E41" s="7"/>
      <c r="F41" s="7"/>
      <c r="G41" s="7"/>
      <c r="H41" s="7"/>
      <c r="I41" s="27"/>
      <c r="J41" s="7"/>
      <c r="K41" s="9"/>
    </row>
    <row r="42" spans="2:11" ht="18.75">
      <c r="B42" s="6"/>
      <c r="C42" s="7"/>
      <c r="D42" s="57" t="s">
        <v>177</v>
      </c>
      <c r="E42" s="30"/>
      <c r="F42" s="7"/>
      <c r="G42" s="7"/>
      <c r="H42" s="64" t="s">
        <v>178</v>
      </c>
      <c r="I42" s="30"/>
      <c r="J42" s="7"/>
      <c r="K42" s="9"/>
    </row>
    <row r="43" spans="2:11" ht="18.75">
      <c r="B43" s="6"/>
      <c r="C43" s="63" t="s">
        <v>171</v>
      </c>
      <c r="D43" s="36">
        <f>IF(D52&lt;800,D52/80,10)</f>
        <v>10</v>
      </c>
      <c r="E43" s="27" t="s">
        <v>7</v>
      </c>
      <c r="F43" s="7"/>
      <c r="G43" s="7"/>
      <c r="H43" s="37">
        <f>HLOOKUP(E52,$D$121:$BK$134,14,FALSE)*D43/10</f>
        <v>13398</v>
      </c>
      <c r="I43" s="64" t="s">
        <v>179</v>
      </c>
      <c r="J43" s="7"/>
      <c r="K43" s="9"/>
    </row>
    <row r="44" spans="2:11" ht="18.75">
      <c r="B44" s="6"/>
      <c r="C44" s="63" t="s">
        <v>172</v>
      </c>
      <c r="D44" s="36">
        <f>IF(10-D43&gt;0,IF((D53+D52)&gt;800,800-D52,D53)/80,0)</f>
        <v>0</v>
      </c>
      <c r="E44" s="27" t="s">
        <v>7</v>
      </c>
      <c r="F44" s="7"/>
      <c r="G44" s="7"/>
      <c r="H44" s="37">
        <f>HLOOKUP(E53,$D$121:$BK$134,14,FALSE)*D44/10</f>
        <v>0</v>
      </c>
      <c r="I44" s="64" t="s">
        <v>179</v>
      </c>
      <c r="J44" s="7"/>
      <c r="K44" s="9"/>
    </row>
    <row r="45" spans="2:11" ht="18.75">
      <c r="B45" s="6"/>
      <c r="C45" s="63" t="s">
        <v>173</v>
      </c>
      <c r="D45" s="36">
        <f>IF(10-D43-D44&gt;0,IF((D53+D52+D54)&gt;800,800-D52-D53,D54)/80,0)</f>
        <v>0</v>
      </c>
      <c r="E45" s="27" t="s">
        <v>7</v>
      </c>
      <c r="F45" s="7"/>
      <c r="G45" s="7"/>
      <c r="H45" s="37">
        <f>HLOOKUP(E54,$D$121:$BK$134,14,FALSE)*D45/10</f>
        <v>0</v>
      </c>
      <c r="I45" s="64" t="s">
        <v>179</v>
      </c>
      <c r="J45" s="7"/>
      <c r="K45" s="9"/>
    </row>
    <row r="46" spans="2:11" ht="37.5">
      <c r="B46" s="6"/>
      <c r="C46" s="63" t="s">
        <v>175</v>
      </c>
      <c r="D46" s="36">
        <f>SUM(D43:D45)</f>
        <v>10</v>
      </c>
      <c r="E46" s="27" t="s">
        <v>7</v>
      </c>
      <c r="F46" s="7"/>
      <c r="G46" s="7"/>
      <c r="H46" s="37">
        <f>SUM(H43:H45)</f>
        <v>13398</v>
      </c>
      <c r="I46" s="64" t="s">
        <v>179</v>
      </c>
      <c r="J46" s="7"/>
      <c r="K46" s="9"/>
    </row>
    <row r="47" spans="2:11" ht="18.75">
      <c r="B47" s="6"/>
      <c r="C47" s="63"/>
      <c r="D47" s="63"/>
      <c r="E47" s="27"/>
      <c r="F47" s="7"/>
      <c r="G47" s="7"/>
      <c r="H47" s="7"/>
      <c r="I47" s="27"/>
      <c r="J47" s="7"/>
      <c r="K47" s="9"/>
    </row>
    <row r="48" spans="2:11" ht="18.75">
      <c r="B48" s="6"/>
      <c r="C48" s="35"/>
      <c r="D48" s="37">
        <f>ROUNDDOWN(SUM(D43:D45)*1000/250,0)</f>
        <v>40</v>
      </c>
      <c r="E48" s="27" t="s">
        <v>176</v>
      </c>
      <c r="F48" s="30"/>
      <c r="G48" s="7"/>
      <c r="H48" s="40">
        <f>H46/(30*365)</f>
        <v>1.2235616438356165</v>
      </c>
      <c r="I48" s="27" t="s">
        <v>43</v>
      </c>
      <c r="J48" s="7"/>
      <c r="K48" s="9"/>
    </row>
    <row r="49" spans="2:11" ht="18.75">
      <c r="B49" s="6"/>
      <c r="C49" s="35"/>
      <c r="D49" s="63"/>
      <c r="E49" s="27"/>
      <c r="F49" s="30"/>
      <c r="G49" s="30"/>
      <c r="H49" s="7"/>
      <c r="I49" s="27"/>
      <c r="J49" s="7"/>
      <c r="K49" s="9"/>
    </row>
    <row r="50" spans="2:11" ht="18.75" hidden="1">
      <c r="B50" s="6"/>
      <c r="C50" s="8" t="s">
        <v>182</v>
      </c>
      <c r="D50" s="30"/>
      <c r="E50" s="27"/>
      <c r="F50" s="30"/>
      <c r="G50" s="30"/>
      <c r="H50" s="7"/>
      <c r="I50" s="27"/>
      <c r="J50" s="7"/>
      <c r="K50" s="9"/>
    </row>
    <row r="51" spans="2:11" ht="18.75" hidden="1">
      <c r="B51" s="6"/>
      <c r="C51" s="30"/>
      <c r="D51" s="30" t="s">
        <v>180</v>
      </c>
      <c r="E51" s="8" t="s">
        <v>181</v>
      </c>
      <c r="F51" s="8"/>
      <c r="G51" s="30"/>
      <c r="H51" s="7"/>
      <c r="I51" s="27"/>
      <c r="J51" s="7"/>
      <c r="K51" s="9"/>
    </row>
    <row r="52" spans="2:11" ht="18.75" hidden="1">
      <c r="B52" s="6"/>
      <c r="C52" s="8" t="s">
        <v>171</v>
      </c>
      <c r="D52" s="8">
        <f>H31*J31</f>
        <v>2400</v>
      </c>
      <c r="E52" s="8" t="str">
        <f>D31&amp;" - "&amp;VLOOKUP(F31,$D$101:$E$116,2,FALSE)</f>
        <v>South - 4/12</v>
      </c>
      <c r="F52" s="8"/>
      <c r="G52" s="30"/>
      <c r="H52" s="7"/>
      <c r="I52" s="27"/>
      <c r="J52" s="7"/>
      <c r="K52" s="9"/>
    </row>
    <row r="53" spans="2:11" ht="18.75" hidden="1">
      <c r="B53" s="6"/>
      <c r="C53" s="8" t="s">
        <v>172</v>
      </c>
      <c r="D53" s="8">
        <f>H33*J33</f>
        <v>0</v>
      </c>
      <c r="E53" s="8" t="str">
        <f>D33&amp;" - "&amp;VLOOKUP(F33,$D$101:$E$116,2,FALSE)</f>
        <v>West - 1/12</v>
      </c>
      <c r="F53" s="8"/>
      <c r="G53" s="30"/>
      <c r="H53" s="7"/>
      <c r="I53" s="27"/>
      <c r="J53" s="7"/>
      <c r="K53" s="9"/>
    </row>
    <row r="54" spans="2:11" ht="18.75" hidden="1">
      <c r="B54" s="6"/>
      <c r="C54" s="8" t="s">
        <v>173</v>
      </c>
      <c r="D54" s="8">
        <f>H35*J35</f>
        <v>0</v>
      </c>
      <c r="E54" s="8" t="str">
        <f>D35&amp;" - "&amp;VLOOKUP(F35,$D$101:$E$116,2,FALSE)</f>
        <v>East - 1/12</v>
      </c>
      <c r="F54" s="8"/>
      <c r="G54" s="35"/>
      <c r="H54" s="7"/>
      <c r="I54" s="27"/>
      <c r="J54" s="7"/>
      <c r="K54" s="9"/>
    </row>
    <row r="55" spans="2:11" ht="18.75">
      <c r="B55" s="6"/>
      <c r="C55" s="7"/>
      <c r="D55" s="7"/>
      <c r="E55" s="7"/>
      <c r="F55" s="7"/>
      <c r="G55" s="63"/>
      <c r="H55" s="38"/>
      <c r="I55" s="27"/>
      <c r="J55" s="7"/>
      <c r="K55" s="9"/>
    </row>
    <row r="56" spans="2:11" ht="7.5" customHeight="1">
      <c r="B56" s="6"/>
      <c r="C56" s="7"/>
      <c r="D56" s="30"/>
      <c r="E56" s="39"/>
      <c r="F56" s="7"/>
      <c r="G56" s="30"/>
      <c r="H56" s="29"/>
      <c r="I56" s="29"/>
      <c r="J56" s="7"/>
      <c r="K56" s="9"/>
    </row>
    <row r="57" spans="2:11" ht="18.75">
      <c r="B57" s="6"/>
      <c r="C57" s="35"/>
      <c r="D57" s="30"/>
      <c r="E57" s="35" t="s">
        <v>83</v>
      </c>
      <c r="F57" s="118">
        <f>H46*F58</f>
        <v>5305.608</v>
      </c>
      <c r="G57" s="119"/>
      <c r="H57" s="27" t="s">
        <v>41</v>
      </c>
      <c r="I57" s="30"/>
      <c r="J57" s="7"/>
      <c r="K57" s="9"/>
    </row>
    <row r="58" spans="2:11" ht="15.75" hidden="1">
      <c r="B58" s="6"/>
      <c r="C58" s="7"/>
      <c r="D58" s="30"/>
      <c r="E58" s="39" t="s">
        <v>37</v>
      </c>
      <c r="F58" s="108">
        <v>0.396</v>
      </c>
      <c r="G58" s="101"/>
      <c r="H58" s="29"/>
      <c r="I58" s="30"/>
      <c r="J58" s="7"/>
      <c r="K58" s="9"/>
    </row>
    <row r="59" spans="2:11" ht="7.5" customHeight="1">
      <c r="B59" s="6"/>
      <c r="C59" s="7"/>
      <c r="D59" s="30"/>
      <c r="E59" s="39"/>
      <c r="F59" s="102"/>
      <c r="G59" s="102"/>
      <c r="H59" s="29"/>
      <c r="I59" s="30"/>
      <c r="J59" s="7"/>
      <c r="K59" s="9"/>
    </row>
    <row r="60" spans="2:11" ht="18.75">
      <c r="B60" s="6"/>
      <c r="C60" s="7"/>
      <c r="D60" s="30"/>
      <c r="E60" s="35" t="s">
        <v>84</v>
      </c>
      <c r="F60" s="118">
        <f>(IF(D46&lt;3,D46*4560,IF(AND(D46&gt;=3,D46&lt;=7),D46*4310,D46*4060)+IF(F33="flat",D44*650,0)+IF(F35="flat",D45*650,0)+IF(F31="flat",D43*650,0)))</f>
        <v>40600</v>
      </c>
      <c r="G60" s="119"/>
      <c r="H60" s="27" t="s">
        <v>44</v>
      </c>
      <c r="I60" s="30"/>
      <c r="J60" s="7"/>
      <c r="K60" s="9"/>
    </row>
    <row r="61" spans="2:11" ht="18.75">
      <c r="B61" s="6"/>
      <c r="C61" s="7"/>
      <c r="D61" s="30"/>
      <c r="E61" s="35" t="s">
        <v>183</v>
      </c>
      <c r="F61" s="118">
        <f>G199</f>
        <v>95182.60752000002</v>
      </c>
      <c r="G61" s="119"/>
      <c r="H61" s="27"/>
      <c r="I61" s="30"/>
      <c r="J61" s="7"/>
      <c r="K61" s="9"/>
    </row>
    <row r="62" spans="2:11" ht="18.75">
      <c r="B62" s="6"/>
      <c r="C62" s="7"/>
      <c r="D62" s="30"/>
      <c r="E62" s="35" t="s">
        <v>184</v>
      </c>
      <c r="F62" s="118">
        <f>F61-F60</f>
        <v>54582.60752000002</v>
      </c>
      <c r="G62" s="119"/>
      <c r="H62" s="27"/>
      <c r="I62" s="30"/>
      <c r="J62" s="7"/>
      <c r="K62" s="9"/>
    </row>
    <row r="63" spans="2:11" ht="18.75">
      <c r="B63" s="6"/>
      <c r="C63" s="7"/>
      <c r="D63" s="30"/>
      <c r="E63" s="35" t="s">
        <v>85</v>
      </c>
      <c r="F63" s="120">
        <f>F60/F57</f>
        <v>7.6522803795531065</v>
      </c>
      <c r="G63" s="121"/>
      <c r="H63" s="27" t="s">
        <v>42</v>
      </c>
      <c r="I63" s="30"/>
      <c r="J63" s="7"/>
      <c r="K63" s="9"/>
    </row>
    <row r="64" spans="2:11" ht="18.75">
      <c r="B64" s="6"/>
      <c r="C64" s="7"/>
      <c r="D64" s="30"/>
      <c r="E64" s="35" t="s">
        <v>82</v>
      </c>
      <c r="F64" s="122">
        <f>F57/F60</f>
        <v>0.13068</v>
      </c>
      <c r="G64" s="123"/>
      <c r="H64" s="27"/>
      <c r="I64" s="30"/>
      <c r="J64" s="7"/>
      <c r="K64" s="9"/>
    </row>
    <row r="65" spans="2:11" ht="7.5" customHeight="1">
      <c r="B65" s="6"/>
      <c r="C65" s="7"/>
      <c r="D65" s="30"/>
      <c r="E65" s="39"/>
      <c r="F65" s="29"/>
      <c r="G65" s="39"/>
      <c r="H65" s="29"/>
      <c r="I65" s="30"/>
      <c r="J65" s="7"/>
      <c r="K65" s="9"/>
    </row>
    <row r="66" spans="2:11" ht="18.75">
      <c r="B66" s="6"/>
      <c r="C66" s="7"/>
      <c r="D66" s="30"/>
      <c r="E66" s="35" t="s">
        <v>86</v>
      </c>
      <c r="F66" s="124">
        <f>IF(F60&gt;=2500,VLOOKUP(1,C155:D161,2,FALSE)*F60,0)</f>
        <v>460.81</v>
      </c>
      <c r="G66" s="125"/>
      <c r="H66" s="27" t="s">
        <v>52</v>
      </c>
      <c r="I66" s="30"/>
      <c r="J66" s="7"/>
      <c r="K66" s="9"/>
    </row>
    <row r="67" spans="2:11" ht="15.75">
      <c r="B67" s="6"/>
      <c r="C67" s="41"/>
      <c r="D67" s="7"/>
      <c r="E67" s="8"/>
      <c r="F67" s="7"/>
      <c r="G67" s="8"/>
      <c r="H67" s="7"/>
      <c r="I67" s="8"/>
      <c r="J67" s="7"/>
      <c r="K67" s="9"/>
    </row>
    <row r="68" spans="2:11" ht="15.75">
      <c r="B68" s="6"/>
      <c r="C68" s="41"/>
      <c r="D68" s="7"/>
      <c r="E68" s="8"/>
      <c r="F68" s="7"/>
      <c r="G68" s="8"/>
      <c r="H68" s="7"/>
      <c r="I68" s="8"/>
      <c r="J68" s="7"/>
      <c r="K68" s="9"/>
    </row>
    <row r="69" spans="2:11" ht="15.75">
      <c r="B69" s="6"/>
      <c r="C69" s="41"/>
      <c r="D69" s="7"/>
      <c r="E69" s="8"/>
      <c r="F69" s="7"/>
      <c r="G69" s="8"/>
      <c r="H69" s="7"/>
      <c r="I69" s="8"/>
      <c r="J69" s="7"/>
      <c r="K69" s="9"/>
    </row>
    <row r="70" spans="2:11" ht="15.75">
      <c r="B70" s="6"/>
      <c r="C70" s="41"/>
      <c r="D70" s="7"/>
      <c r="E70" s="8"/>
      <c r="F70" s="7"/>
      <c r="G70" s="8"/>
      <c r="H70" s="7"/>
      <c r="I70" s="8"/>
      <c r="J70" s="7"/>
      <c r="K70" s="9"/>
    </row>
    <row r="71" spans="2:11" ht="15.75">
      <c r="B71" s="6"/>
      <c r="C71" s="41"/>
      <c r="D71" s="7"/>
      <c r="E71" s="8"/>
      <c r="F71" s="7"/>
      <c r="G71" s="8"/>
      <c r="H71" s="7"/>
      <c r="I71" s="8"/>
      <c r="J71" s="7"/>
      <c r="K71" s="9"/>
    </row>
    <row r="72" spans="2:11" ht="15.75">
      <c r="B72" s="6"/>
      <c r="C72" s="41"/>
      <c r="D72" s="7"/>
      <c r="E72" s="8"/>
      <c r="F72" s="7"/>
      <c r="G72" s="8"/>
      <c r="H72" s="7"/>
      <c r="I72" s="8"/>
      <c r="J72" s="7"/>
      <c r="K72" s="9"/>
    </row>
    <row r="73" spans="2:11" ht="15.75">
      <c r="B73" s="6"/>
      <c r="C73" s="41"/>
      <c r="D73" s="7"/>
      <c r="E73" s="8"/>
      <c r="F73" s="7"/>
      <c r="G73" s="8"/>
      <c r="H73" s="7"/>
      <c r="I73" s="8"/>
      <c r="J73" s="7"/>
      <c r="K73" s="9"/>
    </row>
    <row r="74" spans="2:11" ht="15.75">
      <c r="B74" s="6"/>
      <c r="C74" s="41"/>
      <c r="D74" s="7"/>
      <c r="E74" s="8"/>
      <c r="F74" s="7"/>
      <c r="G74" s="8"/>
      <c r="H74" s="7"/>
      <c r="I74" s="8"/>
      <c r="J74" s="7"/>
      <c r="K74" s="9"/>
    </row>
    <row r="75" spans="2:11" ht="15.75">
      <c r="B75" s="6"/>
      <c r="C75" s="41"/>
      <c r="D75" s="7"/>
      <c r="E75" s="8"/>
      <c r="F75" s="7"/>
      <c r="G75" s="8"/>
      <c r="H75" s="7"/>
      <c r="I75" s="8"/>
      <c r="J75" s="7"/>
      <c r="K75" s="9"/>
    </row>
    <row r="76" spans="2:11" ht="15.75">
      <c r="B76" s="6"/>
      <c r="C76" s="41"/>
      <c r="D76" s="7"/>
      <c r="E76" s="8"/>
      <c r="F76" s="7"/>
      <c r="G76" s="8"/>
      <c r="H76" s="7"/>
      <c r="I76" s="8"/>
      <c r="J76" s="7"/>
      <c r="K76" s="9"/>
    </row>
    <row r="77" spans="2:11" ht="15.75">
      <c r="B77" s="6"/>
      <c r="C77" s="41"/>
      <c r="D77" s="7"/>
      <c r="E77" s="8"/>
      <c r="F77" s="7"/>
      <c r="G77" s="8"/>
      <c r="H77" s="7"/>
      <c r="I77" s="8"/>
      <c r="J77" s="7"/>
      <c r="K77" s="9"/>
    </row>
    <row r="78" spans="2:11" ht="15.75">
      <c r="B78" s="6"/>
      <c r="C78" s="41"/>
      <c r="D78" s="7"/>
      <c r="E78" s="8"/>
      <c r="F78" s="7"/>
      <c r="G78" s="8"/>
      <c r="H78" s="7"/>
      <c r="I78" s="8"/>
      <c r="J78" s="7"/>
      <c r="K78" s="9"/>
    </row>
    <row r="79" spans="2:11" ht="15.75">
      <c r="B79" s="6"/>
      <c r="C79" s="41"/>
      <c r="D79" s="7"/>
      <c r="E79" s="8"/>
      <c r="F79" s="7"/>
      <c r="G79" s="8"/>
      <c r="H79" s="7"/>
      <c r="I79" s="8"/>
      <c r="J79" s="7"/>
      <c r="K79" s="9"/>
    </row>
    <row r="80" spans="2:11" ht="15.75">
      <c r="B80" s="6"/>
      <c r="C80" s="41"/>
      <c r="D80" s="7"/>
      <c r="E80" s="8"/>
      <c r="F80" s="7"/>
      <c r="G80" s="8"/>
      <c r="H80" s="7"/>
      <c r="I80" s="8"/>
      <c r="J80" s="7"/>
      <c r="K80" s="9"/>
    </row>
    <row r="81" spans="2:11" ht="15.75">
      <c r="B81" s="6"/>
      <c r="C81" s="109"/>
      <c r="D81" s="109"/>
      <c r="E81" s="109"/>
      <c r="F81" s="109"/>
      <c r="G81" s="109"/>
      <c r="H81" s="109"/>
      <c r="I81" s="109"/>
      <c r="J81" s="109"/>
      <c r="K81" s="110"/>
    </row>
    <row r="82" spans="2:11" ht="7.5" customHeight="1">
      <c r="B82" s="6"/>
      <c r="C82" s="7"/>
      <c r="D82" s="7"/>
      <c r="E82" s="30"/>
      <c r="F82" s="29"/>
      <c r="G82" s="30"/>
      <c r="H82" s="29"/>
      <c r="I82" s="30"/>
      <c r="J82" s="7"/>
      <c r="K82" s="9"/>
    </row>
    <row r="83" spans="2:11" ht="111" customHeight="1">
      <c r="B83" s="42"/>
      <c r="C83" s="109" t="s">
        <v>205</v>
      </c>
      <c r="D83" s="109"/>
      <c r="E83" s="109"/>
      <c r="F83" s="109"/>
      <c r="G83" s="109"/>
      <c r="H83" s="109"/>
      <c r="I83" s="109"/>
      <c r="J83" s="109"/>
      <c r="K83" s="43"/>
    </row>
    <row r="84" spans="2:11" ht="7.5" customHeight="1">
      <c r="B84" s="21"/>
      <c r="C84" s="25"/>
      <c r="D84" s="25"/>
      <c r="E84" s="45"/>
      <c r="F84" s="44"/>
      <c r="G84" s="45"/>
      <c r="H84" s="44"/>
      <c r="I84" s="45"/>
      <c r="J84" s="25"/>
      <c r="K84" s="26"/>
    </row>
    <row r="85" ht="15.75">
      <c r="C85" s="46"/>
    </row>
    <row r="86" spans="3:12" ht="15.75">
      <c r="C86" s="46"/>
      <c r="J86" s="47"/>
      <c r="K86" s="48" t="s">
        <v>204</v>
      </c>
      <c r="L86" s="47"/>
    </row>
    <row r="87" ht="15.75">
      <c r="C87" s="46"/>
    </row>
    <row r="88" ht="15.75">
      <c r="C88" s="46"/>
    </row>
    <row r="89" ht="15.75">
      <c r="C89" s="46"/>
    </row>
    <row r="90" ht="15.75">
      <c r="C90" s="46"/>
    </row>
    <row r="91" ht="15.75">
      <c r="C91" s="46"/>
    </row>
    <row r="92" ht="15.75">
      <c r="C92" s="46"/>
    </row>
    <row r="93" ht="15.75">
      <c r="C93" s="46"/>
    </row>
    <row r="94" ht="15.75">
      <c r="C94" s="46"/>
    </row>
    <row r="95" ht="15.75">
      <c r="C95" s="46"/>
    </row>
    <row r="96" ht="15.75">
      <c r="C96" s="46"/>
    </row>
    <row r="97" ht="15.75">
      <c r="C97" s="46"/>
    </row>
    <row r="98" ht="15.75">
      <c r="C98" s="46"/>
    </row>
    <row r="99" spans="2:9" s="90" customFormat="1" ht="16.5" thickBot="1">
      <c r="B99" s="91"/>
      <c r="C99" s="92"/>
      <c r="E99" s="93"/>
      <c r="G99" s="93"/>
      <c r="I99" s="93"/>
    </row>
    <row r="100" spans="1:12" ht="16.5" thickTop="1">
      <c r="A100" s="81"/>
      <c r="B100" s="89"/>
      <c r="C100" s="82" t="s">
        <v>99</v>
      </c>
      <c r="D100" s="82" t="s">
        <v>107</v>
      </c>
      <c r="E100" s="83" t="s">
        <v>108</v>
      </c>
      <c r="F100" s="84"/>
      <c r="G100" s="85"/>
      <c r="H100" s="84"/>
      <c r="I100" s="86"/>
      <c r="J100" s="87"/>
      <c r="K100" s="87"/>
      <c r="L100" s="81"/>
    </row>
    <row r="101" spans="1:12" ht="15.75">
      <c r="A101" s="81"/>
      <c r="B101" s="89"/>
      <c r="C101" s="84" t="s">
        <v>0</v>
      </c>
      <c r="D101" s="84" t="s">
        <v>4</v>
      </c>
      <c r="E101" s="83" t="s">
        <v>3</v>
      </c>
      <c r="F101" s="84"/>
      <c r="G101" s="83"/>
      <c r="H101" s="84"/>
      <c r="I101" s="86"/>
      <c r="J101" s="87"/>
      <c r="K101" s="87"/>
      <c r="L101" s="81"/>
    </row>
    <row r="102" spans="1:12" ht="15.75">
      <c r="A102" s="81"/>
      <c r="B102" s="89"/>
      <c r="C102" s="84" t="s">
        <v>1</v>
      </c>
      <c r="D102" s="88" t="s">
        <v>40</v>
      </c>
      <c r="E102" s="83" t="s">
        <v>105</v>
      </c>
      <c r="F102" s="84"/>
      <c r="G102" s="85"/>
      <c r="H102" s="84"/>
      <c r="I102" s="86"/>
      <c r="J102" s="87"/>
      <c r="K102" s="87"/>
      <c r="L102" s="81"/>
    </row>
    <row r="103" spans="1:12" ht="15.75">
      <c r="A103" s="81"/>
      <c r="B103" s="89"/>
      <c r="C103" s="84" t="s">
        <v>2</v>
      </c>
      <c r="D103" s="88" t="s">
        <v>104</v>
      </c>
      <c r="E103" s="83" t="s">
        <v>106</v>
      </c>
      <c r="F103" s="84"/>
      <c r="G103" s="85"/>
      <c r="H103" s="84"/>
      <c r="I103" s="86"/>
      <c r="J103" s="87"/>
      <c r="K103" s="87"/>
      <c r="L103" s="81"/>
    </row>
    <row r="104" spans="1:12" ht="15.75">
      <c r="A104" s="81"/>
      <c r="B104" s="89"/>
      <c r="C104" s="84" t="s">
        <v>5</v>
      </c>
      <c r="D104" s="88" t="s">
        <v>155</v>
      </c>
      <c r="E104" s="83" t="s">
        <v>3</v>
      </c>
      <c r="F104" s="84"/>
      <c r="G104" s="85"/>
      <c r="H104" s="84"/>
      <c r="I104" s="86"/>
      <c r="J104" s="87"/>
      <c r="K104" s="87"/>
      <c r="L104" s="81"/>
    </row>
    <row r="105" spans="1:12" ht="15.75">
      <c r="A105" s="81"/>
      <c r="B105" s="89"/>
      <c r="C105" s="84" t="s">
        <v>6</v>
      </c>
      <c r="D105" s="88" t="s">
        <v>156</v>
      </c>
      <c r="E105" s="83" t="str">
        <f>D105</f>
        <v>1/12</v>
      </c>
      <c r="F105" s="84"/>
      <c r="G105" s="85"/>
      <c r="H105" s="84"/>
      <c r="I105" s="86"/>
      <c r="J105" s="87"/>
      <c r="K105" s="87"/>
      <c r="L105" s="81"/>
    </row>
    <row r="106" spans="1:12" ht="15.75">
      <c r="A106" s="81"/>
      <c r="B106" s="89"/>
      <c r="C106" s="84"/>
      <c r="D106" s="88" t="s">
        <v>105</v>
      </c>
      <c r="E106" s="83" t="str">
        <f aca="true" t="shared" si="0" ref="E106:E116">D106</f>
        <v>2/12</v>
      </c>
      <c r="F106" s="84"/>
      <c r="G106" s="85"/>
      <c r="H106" s="84"/>
      <c r="I106" s="86"/>
      <c r="J106" s="87"/>
      <c r="K106" s="87"/>
      <c r="L106" s="81"/>
    </row>
    <row r="107" spans="1:12" ht="15.75">
      <c r="A107" s="81"/>
      <c r="B107" s="89"/>
      <c r="C107" s="84"/>
      <c r="D107" s="88" t="s">
        <v>157</v>
      </c>
      <c r="E107" s="83" t="str">
        <f t="shared" si="0"/>
        <v>3/12</v>
      </c>
      <c r="F107" s="84"/>
      <c r="G107" s="85"/>
      <c r="H107" s="84"/>
      <c r="I107" s="86"/>
      <c r="J107" s="87"/>
      <c r="K107" s="87"/>
      <c r="L107" s="81"/>
    </row>
    <row r="108" spans="1:12" ht="15.75">
      <c r="A108" s="81"/>
      <c r="B108" s="89"/>
      <c r="C108" s="84"/>
      <c r="D108" s="88" t="s">
        <v>158</v>
      </c>
      <c r="E108" s="83" t="str">
        <f t="shared" si="0"/>
        <v>4/12</v>
      </c>
      <c r="F108" s="84"/>
      <c r="G108" s="85"/>
      <c r="H108" s="84"/>
      <c r="I108" s="86"/>
      <c r="J108" s="87"/>
      <c r="K108" s="87"/>
      <c r="L108" s="81"/>
    </row>
    <row r="109" spans="1:12" ht="15.75">
      <c r="A109" s="81"/>
      <c r="B109" s="89"/>
      <c r="C109" s="84"/>
      <c r="D109" s="88" t="s">
        <v>106</v>
      </c>
      <c r="E109" s="83" t="str">
        <f t="shared" si="0"/>
        <v>5/12</v>
      </c>
      <c r="F109" s="84"/>
      <c r="G109" s="85"/>
      <c r="H109" s="84"/>
      <c r="I109" s="86"/>
      <c r="J109" s="87"/>
      <c r="K109" s="87"/>
      <c r="L109" s="81"/>
    </row>
    <row r="110" spans="1:12" ht="15.75">
      <c r="A110" s="81"/>
      <c r="B110" s="89"/>
      <c r="C110" s="84"/>
      <c r="D110" s="88" t="s">
        <v>159</v>
      </c>
      <c r="E110" s="83" t="str">
        <f t="shared" si="0"/>
        <v>6/12</v>
      </c>
      <c r="F110" s="84"/>
      <c r="G110" s="85"/>
      <c r="H110" s="84"/>
      <c r="I110" s="86"/>
      <c r="J110" s="87"/>
      <c r="K110" s="87"/>
      <c r="L110" s="81"/>
    </row>
    <row r="111" spans="1:12" ht="15.75">
      <c r="A111" s="81"/>
      <c r="B111" s="89"/>
      <c r="C111" s="84"/>
      <c r="D111" s="88" t="s">
        <v>160</v>
      </c>
      <c r="E111" s="83" t="str">
        <f t="shared" si="0"/>
        <v>7/12</v>
      </c>
      <c r="F111" s="84"/>
      <c r="G111" s="85"/>
      <c r="H111" s="84"/>
      <c r="I111" s="86"/>
      <c r="J111" s="87"/>
      <c r="K111" s="87"/>
      <c r="L111" s="81"/>
    </row>
    <row r="112" spans="1:12" ht="15.75">
      <c r="A112" s="81"/>
      <c r="B112" s="89"/>
      <c r="C112" s="84"/>
      <c r="D112" s="88" t="s">
        <v>3</v>
      </c>
      <c r="E112" s="83" t="str">
        <f t="shared" si="0"/>
        <v>8/12</v>
      </c>
      <c r="F112" s="84"/>
      <c r="G112" s="85"/>
      <c r="H112" s="84"/>
      <c r="I112" s="86"/>
      <c r="J112" s="87"/>
      <c r="K112" s="87"/>
      <c r="L112" s="81"/>
    </row>
    <row r="113" spans="1:12" ht="15.75">
      <c r="A113" s="81"/>
      <c r="B113" s="89"/>
      <c r="C113" s="84"/>
      <c r="D113" s="88" t="s">
        <v>161</v>
      </c>
      <c r="E113" s="83" t="str">
        <f t="shared" si="0"/>
        <v>9/12</v>
      </c>
      <c r="F113" s="84"/>
      <c r="G113" s="85"/>
      <c r="H113" s="84"/>
      <c r="I113" s="86"/>
      <c r="J113" s="87"/>
      <c r="K113" s="87"/>
      <c r="L113" s="81"/>
    </row>
    <row r="114" spans="1:12" ht="15.75">
      <c r="A114" s="81"/>
      <c r="B114" s="89"/>
      <c r="C114" s="84"/>
      <c r="D114" s="88" t="s">
        <v>162</v>
      </c>
      <c r="E114" s="83" t="str">
        <f t="shared" si="0"/>
        <v>10/12</v>
      </c>
      <c r="F114" s="84"/>
      <c r="G114" s="85"/>
      <c r="H114" s="84"/>
      <c r="I114" s="86"/>
      <c r="J114" s="87"/>
      <c r="K114" s="87"/>
      <c r="L114" s="81"/>
    </row>
    <row r="115" spans="1:12" ht="15.75">
      <c r="A115" s="81"/>
      <c r="B115" s="89"/>
      <c r="C115" s="84"/>
      <c r="D115" s="88" t="s">
        <v>163</v>
      </c>
      <c r="E115" s="83" t="str">
        <f t="shared" si="0"/>
        <v>11/12</v>
      </c>
      <c r="F115" s="84"/>
      <c r="G115" s="85"/>
      <c r="H115" s="84"/>
      <c r="I115" s="86"/>
      <c r="J115" s="87"/>
      <c r="K115" s="87"/>
      <c r="L115" s="81"/>
    </row>
    <row r="116" spans="1:12" ht="15.75">
      <c r="A116" s="81"/>
      <c r="B116" s="89"/>
      <c r="C116" s="84"/>
      <c r="D116" s="88" t="s">
        <v>164</v>
      </c>
      <c r="E116" s="83" t="str">
        <f t="shared" si="0"/>
        <v>12/12</v>
      </c>
      <c r="F116" s="84"/>
      <c r="G116" s="85"/>
      <c r="H116" s="84"/>
      <c r="I116" s="86"/>
      <c r="J116" s="87"/>
      <c r="K116" s="87"/>
      <c r="L116" s="81"/>
    </row>
    <row r="117" spans="1:12" ht="15.75">
      <c r="A117" s="81"/>
      <c r="B117" s="89"/>
      <c r="C117" s="87"/>
      <c r="D117" s="84"/>
      <c r="E117" s="83"/>
      <c r="F117" s="84"/>
      <c r="G117" s="85"/>
      <c r="H117" s="84"/>
      <c r="I117" s="86"/>
      <c r="J117" s="87"/>
      <c r="K117" s="87"/>
      <c r="L117" s="81"/>
    </row>
    <row r="118" spans="1:12" s="90" customFormat="1" ht="16.5" thickBot="1">
      <c r="A118" s="94"/>
      <c r="B118" s="95"/>
      <c r="C118" s="96"/>
      <c r="D118" s="94"/>
      <c r="E118" s="97"/>
      <c r="F118" s="94"/>
      <c r="G118" s="97"/>
      <c r="H118" s="94"/>
      <c r="I118" s="97"/>
      <c r="J118" s="94"/>
      <c r="K118" s="94"/>
      <c r="L118" s="94"/>
    </row>
    <row r="119" ht="16.5" thickTop="1">
      <c r="C119" s="46" t="s">
        <v>21</v>
      </c>
    </row>
    <row r="120" ht="15.75">
      <c r="C120" s="2" t="s">
        <v>109</v>
      </c>
    </row>
    <row r="121" spans="3:63" ht="15.75">
      <c r="C121" s="46"/>
      <c r="D121" s="49" t="s">
        <v>110</v>
      </c>
      <c r="E121" s="49" t="s">
        <v>111</v>
      </c>
      <c r="F121" s="49" t="s">
        <v>112</v>
      </c>
      <c r="G121" s="49" t="s">
        <v>22</v>
      </c>
      <c r="H121" s="49" t="s">
        <v>113</v>
      </c>
      <c r="I121" s="49" t="s">
        <v>114</v>
      </c>
      <c r="J121" s="49" t="s">
        <v>115</v>
      </c>
      <c r="K121" s="49" t="s">
        <v>23</v>
      </c>
      <c r="L121" s="49" t="s">
        <v>116</v>
      </c>
      <c r="M121" s="49" t="s">
        <v>117</v>
      </c>
      <c r="N121" s="49" t="s">
        <v>118</v>
      </c>
      <c r="O121" s="49" t="s">
        <v>24</v>
      </c>
      <c r="P121" s="49" t="s">
        <v>119</v>
      </c>
      <c r="Q121" s="49" t="s">
        <v>120</v>
      </c>
      <c r="R121" s="49" t="s">
        <v>121</v>
      </c>
      <c r="S121" s="49" t="s">
        <v>25</v>
      </c>
      <c r="T121" s="49" t="s">
        <v>122</v>
      </c>
      <c r="U121" s="49" t="s">
        <v>123</v>
      </c>
      <c r="V121" s="2" t="s">
        <v>124</v>
      </c>
      <c r="W121" s="2" t="s">
        <v>26</v>
      </c>
      <c r="X121" s="2" t="s">
        <v>125</v>
      </c>
      <c r="Y121" s="2" t="s">
        <v>126</v>
      </c>
      <c r="Z121" s="2" t="s">
        <v>127</v>
      </c>
      <c r="AA121" s="2" t="s">
        <v>27</v>
      </c>
      <c r="AB121" s="2" t="s">
        <v>128</v>
      </c>
      <c r="AC121" s="2" t="s">
        <v>129</v>
      </c>
      <c r="AD121" s="2" t="s">
        <v>130</v>
      </c>
      <c r="AE121" s="2" t="s">
        <v>31</v>
      </c>
      <c r="AF121" s="2" t="s">
        <v>131</v>
      </c>
      <c r="AG121" s="2" t="s">
        <v>132</v>
      </c>
      <c r="AH121" s="2" t="s">
        <v>133</v>
      </c>
      <c r="AI121" s="2" t="s">
        <v>32</v>
      </c>
      <c r="AJ121" s="2" t="s">
        <v>134</v>
      </c>
      <c r="AK121" s="2" t="s">
        <v>135</v>
      </c>
      <c r="AL121" s="2" t="s">
        <v>136</v>
      </c>
      <c r="AM121" s="2" t="s">
        <v>33</v>
      </c>
      <c r="AN121" s="2" t="s">
        <v>137</v>
      </c>
      <c r="AO121" s="2" t="s">
        <v>138</v>
      </c>
      <c r="AP121" s="2" t="s">
        <v>139</v>
      </c>
      <c r="AQ121" s="2" t="s">
        <v>28</v>
      </c>
      <c r="AR121" s="2" t="s">
        <v>140</v>
      </c>
      <c r="AS121" s="2" t="s">
        <v>141</v>
      </c>
      <c r="AT121" s="2" t="s">
        <v>142</v>
      </c>
      <c r="AU121" s="2" t="s">
        <v>29</v>
      </c>
      <c r="AV121" s="2" t="s">
        <v>143</v>
      </c>
      <c r="AW121" s="2" t="s">
        <v>144</v>
      </c>
      <c r="AX121" s="2" t="s">
        <v>145</v>
      </c>
      <c r="AY121" s="2" t="s">
        <v>30</v>
      </c>
      <c r="AZ121" s="2" t="s">
        <v>146</v>
      </c>
      <c r="BA121" s="2" t="s">
        <v>147</v>
      </c>
      <c r="BB121" s="2" t="s">
        <v>148</v>
      </c>
      <c r="BC121" s="2" t="s">
        <v>34</v>
      </c>
      <c r="BD121" s="2" t="s">
        <v>149</v>
      </c>
      <c r="BE121" s="2" t="s">
        <v>150</v>
      </c>
      <c r="BF121" s="2" t="s">
        <v>151</v>
      </c>
      <c r="BG121" s="2" t="s">
        <v>35</v>
      </c>
      <c r="BH121" s="2" t="s">
        <v>152</v>
      </c>
      <c r="BI121" s="2" t="s">
        <v>153</v>
      </c>
      <c r="BJ121" s="2" t="s">
        <v>154</v>
      </c>
      <c r="BK121" s="2" t="s">
        <v>36</v>
      </c>
    </row>
    <row r="122" spans="3:63" ht="15.75">
      <c r="C122" s="2" t="s">
        <v>8</v>
      </c>
      <c r="D122" s="2">
        <v>477</v>
      </c>
      <c r="E122" s="3">
        <v>538</v>
      </c>
      <c r="F122" s="2">
        <v>590</v>
      </c>
      <c r="G122" s="3">
        <v>640</v>
      </c>
      <c r="H122" s="2">
        <v>679</v>
      </c>
      <c r="I122" s="3">
        <v>714</v>
      </c>
      <c r="J122" s="2">
        <v>746</v>
      </c>
      <c r="K122" s="2">
        <v>771</v>
      </c>
      <c r="L122" s="2">
        <v>794</v>
      </c>
      <c r="M122" s="2">
        <v>811</v>
      </c>
      <c r="N122" s="2">
        <v>826</v>
      </c>
      <c r="O122" s="2">
        <v>843</v>
      </c>
      <c r="P122" s="2">
        <v>457</v>
      </c>
      <c r="Q122" s="2">
        <v>500</v>
      </c>
      <c r="R122" s="2">
        <v>537</v>
      </c>
      <c r="S122" s="2">
        <v>572</v>
      </c>
      <c r="T122" s="2">
        <v>599</v>
      </c>
      <c r="U122" s="2">
        <v>624</v>
      </c>
      <c r="V122" s="2">
        <v>645</v>
      </c>
      <c r="W122" s="2">
        <v>663</v>
      </c>
      <c r="X122" s="2">
        <v>677</v>
      </c>
      <c r="Y122" s="2">
        <v>690</v>
      </c>
      <c r="Z122" s="2">
        <v>698</v>
      </c>
      <c r="AA122" s="2">
        <v>707</v>
      </c>
      <c r="AB122" s="2">
        <v>415</v>
      </c>
      <c r="AC122" s="2">
        <v>419</v>
      </c>
      <c r="AD122" s="2">
        <v>418</v>
      </c>
      <c r="AE122" s="2">
        <v>421</v>
      </c>
      <c r="AF122" s="2">
        <v>423</v>
      </c>
      <c r="AG122" s="2">
        <v>426</v>
      </c>
      <c r="AH122" s="2">
        <v>428</v>
      </c>
      <c r="AI122" s="2">
        <v>428</v>
      </c>
      <c r="AJ122" s="2">
        <v>427</v>
      </c>
      <c r="AK122" s="2">
        <v>429</v>
      </c>
      <c r="AL122" s="2">
        <v>429</v>
      </c>
      <c r="AM122" s="2">
        <v>430</v>
      </c>
      <c r="AN122" s="2">
        <v>461</v>
      </c>
      <c r="AO122" s="2">
        <v>503</v>
      </c>
      <c r="AP122" s="2">
        <v>539</v>
      </c>
      <c r="AQ122" s="2">
        <v>574</v>
      </c>
      <c r="AR122" s="2">
        <v>601</v>
      </c>
      <c r="AS122" s="2">
        <v>624</v>
      </c>
      <c r="AT122" s="2">
        <v>643</v>
      </c>
      <c r="AU122" s="2">
        <v>660</v>
      </c>
      <c r="AV122" s="2">
        <v>672</v>
      </c>
      <c r="AW122" s="2">
        <v>685</v>
      </c>
      <c r="AX122" s="2">
        <v>693</v>
      </c>
      <c r="AY122" s="2">
        <v>700</v>
      </c>
      <c r="AZ122" s="2">
        <v>415</v>
      </c>
      <c r="BA122" s="2">
        <v>419</v>
      </c>
      <c r="BB122" s="2">
        <v>421</v>
      </c>
      <c r="BC122" s="2">
        <v>420</v>
      </c>
      <c r="BD122" s="2">
        <v>422</v>
      </c>
      <c r="BE122" s="2">
        <v>422</v>
      </c>
      <c r="BF122" s="2">
        <v>423</v>
      </c>
      <c r="BG122" s="2">
        <v>425</v>
      </c>
      <c r="BH122" s="2">
        <v>424</v>
      </c>
      <c r="BI122" s="2">
        <v>425</v>
      </c>
      <c r="BJ122" s="2">
        <v>424</v>
      </c>
      <c r="BK122" s="2">
        <v>423</v>
      </c>
    </row>
    <row r="123" spans="3:63" ht="15.75">
      <c r="C123" s="2" t="s">
        <v>9</v>
      </c>
      <c r="D123" s="50">
        <v>744</v>
      </c>
      <c r="E123" s="51">
        <v>812</v>
      </c>
      <c r="F123" s="50">
        <v>869</v>
      </c>
      <c r="G123" s="51">
        <v>921</v>
      </c>
      <c r="H123" s="50">
        <v>965</v>
      </c>
      <c r="I123" s="51">
        <v>1001</v>
      </c>
      <c r="J123" s="50">
        <v>1030</v>
      </c>
      <c r="K123" s="50">
        <v>1058</v>
      </c>
      <c r="L123" s="50">
        <v>1076</v>
      </c>
      <c r="M123" s="50">
        <v>1092</v>
      </c>
      <c r="N123" s="50">
        <v>1106</v>
      </c>
      <c r="O123" s="50">
        <v>1116</v>
      </c>
      <c r="P123" s="50">
        <v>726</v>
      </c>
      <c r="Q123" s="2">
        <v>774</v>
      </c>
      <c r="R123" s="50">
        <v>816</v>
      </c>
      <c r="S123" s="50">
        <v>854</v>
      </c>
      <c r="T123" s="2">
        <v>884</v>
      </c>
      <c r="U123" s="50">
        <v>907</v>
      </c>
      <c r="V123" s="2">
        <v>926</v>
      </c>
      <c r="W123" s="2">
        <v>942</v>
      </c>
      <c r="X123" s="2">
        <v>953</v>
      </c>
      <c r="Y123" s="2">
        <v>964</v>
      </c>
      <c r="Z123" s="2">
        <v>972</v>
      </c>
      <c r="AA123" s="2">
        <v>977</v>
      </c>
      <c r="AB123" s="2">
        <v>676</v>
      </c>
      <c r="AC123" s="2">
        <v>676</v>
      </c>
      <c r="AD123" s="2">
        <v>678</v>
      </c>
      <c r="AE123" s="2">
        <v>679</v>
      </c>
      <c r="AF123" s="2">
        <v>679</v>
      </c>
      <c r="AG123" s="2">
        <v>676</v>
      </c>
      <c r="AH123" s="2">
        <v>675</v>
      </c>
      <c r="AI123" s="2">
        <v>675</v>
      </c>
      <c r="AJ123" s="2">
        <v>671</v>
      </c>
      <c r="AK123" s="2">
        <v>671</v>
      </c>
      <c r="AL123" s="2">
        <v>665</v>
      </c>
      <c r="AM123" s="2">
        <v>663</v>
      </c>
      <c r="AN123" s="2">
        <v>721</v>
      </c>
      <c r="AO123" s="2">
        <v>766</v>
      </c>
      <c r="AP123" s="2">
        <v>803</v>
      </c>
      <c r="AQ123" s="2">
        <v>838</v>
      </c>
      <c r="AR123" s="2">
        <v>865</v>
      </c>
      <c r="AS123" s="2">
        <v>890</v>
      </c>
      <c r="AT123" s="2">
        <v>909</v>
      </c>
      <c r="AU123" s="2">
        <v>924</v>
      </c>
      <c r="AV123" s="2">
        <v>936</v>
      </c>
      <c r="AW123" s="2">
        <v>944</v>
      </c>
      <c r="AX123" s="2">
        <v>951</v>
      </c>
      <c r="AY123" s="2">
        <v>956</v>
      </c>
      <c r="AZ123" s="2">
        <v>667</v>
      </c>
      <c r="BA123" s="2">
        <v>667</v>
      </c>
      <c r="BB123" s="2">
        <v>667</v>
      </c>
      <c r="BC123" s="2">
        <v>662</v>
      </c>
      <c r="BD123" s="2">
        <v>660</v>
      </c>
      <c r="BE123" s="2">
        <v>657</v>
      </c>
      <c r="BF123" s="2">
        <v>656</v>
      </c>
      <c r="BG123" s="2">
        <v>652</v>
      </c>
      <c r="BH123" s="2">
        <v>645</v>
      </c>
      <c r="BI123" s="2">
        <v>640</v>
      </c>
      <c r="BJ123" s="2">
        <v>638</v>
      </c>
      <c r="BK123" s="2">
        <v>636</v>
      </c>
    </row>
    <row r="124" spans="3:63" ht="15.75">
      <c r="C124" s="2" t="s">
        <v>10</v>
      </c>
      <c r="D124" s="50">
        <v>1087</v>
      </c>
      <c r="E124" s="51">
        <v>1141</v>
      </c>
      <c r="F124" s="50">
        <v>1192</v>
      </c>
      <c r="G124" s="51">
        <v>1231</v>
      </c>
      <c r="H124" s="50">
        <v>1266</v>
      </c>
      <c r="I124" s="51">
        <v>1289</v>
      </c>
      <c r="J124" s="50">
        <v>1309</v>
      </c>
      <c r="K124" s="50">
        <v>1323</v>
      </c>
      <c r="L124" s="50">
        <v>1333</v>
      </c>
      <c r="M124" s="50">
        <v>1341</v>
      </c>
      <c r="N124" s="50">
        <v>1344</v>
      </c>
      <c r="O124" s="50">
        <v>1345</v>
      </c>
      <c r="P124" s="50">
        <v>1071</v>
      </c>
      <c r="Q124" s="50">
        <v>1113</v>
      </c>
      <c r="R124" s="50">
        <v>1146</v>
      </c>
      <c r="S124" s="50">
        <v>1176</v>
      </c>
      <c r="T124" s="50">
        <v>1199</v>
      </c>
      <c r="U124" s="50">
        <v>1217</v>
      </c>
      <c r="V124" s="50">
        <v>1227</v>
      </c>
      <c r="W124" s="50">
        <v>1234</v>
      </c>
      <c r="X124" s="50">
        <v>1237</v>
      </c>
      <c r="Y124" s="50">
        <v>1238</v>
      </c>
      <c r="Z124" s="50">
        <v>1237</v>
      </c>
      <c r="AA124" s="50">
        <v>1237</v>
      </c>
      <c r="AB124" s="50">
        <v>1025</v>
      </c>
      <c r="AC124" s="50">
        <v>1026</v>
      </c>
      <c r="AD124" s="50">
        <v>1022</v>
      </c>
      <c r="AE124" s="50">
        <v>1020</v>
      </c>
      <c r="AF124" s="50">
        <v>1016</v>
      </c>
      <c r="AG124" s="50">
        <v>1009</v>
      </c>
      <c r="AH124" s="50">
        <v>1003</v>
      </c>
      <c r="AI124" s="2">
        <v>994</v>
      </c>
      <c r="AJ124" s="2">
        <v>988</v>
      </c>
      <c r="AK124" s="2">
        <v>980</v>
      </c>
      <c r="AL124" s="2">
        <v>975</v>
      </c>
      <c r="AM124" s="2">
        <v>967</v>
      </c>
      <c r="AN124" s="50">
        <v>1069</v>
      </c>
      <c r="AO124" s="50">
        <v>1109</v>
      </c>
      <c r="AP124" s="50">
        <v>1141</v>
      </c>
      <c r="AQ124" s="50">
        <v>1168</v>
      </c>
      <c r="AR124" s="50">
        <v>1186</v>
      </c>
      <c r="AS124" s="50">
        <v>1202</v>
      </c>
      <c r="AT124" s="50">
        <v>1212</v>
      </c>
      <c r="AU124" s="50">
        <v>1218</v>
      </c>
      <c r="AV124" s="50">
        <v>1222</v>
      </c>
      <c r="AW124" s="50">
        <v>1224</v>
      </c>
      <c r="AX124" s="50">
        <v>1224</v>
      </c>
      <c r="AY124" s="50">
        <v>1221</v>
      </c>
      <c r="AZ124" s="50">
        <v>1022</v>
      </c>
      <c r="BA124" s="50">
        <v>1017</v>
      </c>
      <c r="BB124" s="50">
        <v>1013</v>
      </c>
      <c r="BC124" s="50">
        <v>1008</v>
      </c>
      <c r="BD124" s="2">
        <v>999</v>
      </c>
      <c r="BE124" s="2">
        <v>992</v>
      </c>
      <c r="BF124" s="2">
        <v>985</v>
      </c>
      <c r="BG124" s="2">
        <v>978</v>
      </c>
      <c r="BH124" s="2">
        <v>971</v>
      </c>
      <c r="BI124" s="2">
        <v>962</v>
      </c>
      <c r="BJ124" s="2">
        <v>954</v>
      </c>
      <c r="BK124" s="2">
        <v>947</v>
      </c>
    </row>
    <row r="125" spans="3:63" ht="15.75">
      <c r="C125" s="2" t="s">
        <v>11</v>
      </c>
      <c r="D125" s="50">
        <v>1345</v>
      </c>
      <c r="E125" s="51">
        <v>1381</v>
      </c>
      <c r="F125" s="50">
        <v>1410</v>
      </c>
      <c r="G125" s="51">
        <v>1432</v>
      </c>
      <c r="H125" s="50">
        <v>1446</v>
      </c>
      <c r="I125" s="51">
        <v>1456</v>
      </c>
      <c r="J125" s="50">
        <v>1460</v>
      </c>
      <c r="K125" s="50">
        <v>1457</v>
      </c>
      <c r="L125" s="50">
        <v>1453</v>
      </c>
      <c r="M125" s="50">
        <v>1448</v>
      </c>
      <c r="N125" s="50">
        <v>1440</v>
      </c>
      <c r="O125" s="50">
        <v>1431</v>
      </c>
      <c r="P125" s="50">
        <v>1321</v>
      </c>
      <c r="Q125" s="50">
        <v>1340</v>
      </c>
      <c r="R125" s="50">
        <v>1357</v>
      </c>
      <c r="S125" s="50">
        <v>1369</v>
      </c>
      <c r="T125" s="50">
        <v>1372</v>
      </c>
      <c r="U125" s="50">
        <v>1371</v>
      </c>
      <c r="V125" s="50">
        <v>1370</v>
      </c>
      <c r="W125" s="50">
        <v>1367</v>
      </c>
      <c r="X125" s="50">
        <v>1359</v>
      </c>
      <c r="Y125" s="50">
        <v>1351</v>
      </c>
      <c r="Z125" s="50">
        <v>1343</v>
      </c>
      <c r="AA125" s="50">
        <v>1332</v>
      </c>
      <c r="AB125" s="50">
        <v>1286</v>
      </c>
      <c r="AC125" s="50">
        <v>1274</v>
      </c>
      <c r="AD125" s="50">
        <v>1259</v>
      </c>
      <c r="AE125" s="50">
        <v>1245</v>
      </c>
      <c r="AF125" s="50">
        <v>1230</v>
      </c>
      <c r="AG125" s="50">
        <v>1214</v>
      </c>
      <c r="AH125" s="50">
        <v>1196</v>
      </c>
      <c r="AI125" s="50">
        <v>1180</v>
      </c>
      <c r="AJ125" s="50">
        <v>1167</v>
      </c>
      <c r="AK125" s="50">
        <v>1155</v>
      </c>
      <c r="AL125" s="50">
        <v>1141</v>
      </c>
      <c r="AM125" s="50">
        <v>1129</v>
      </c>
      <c r="AN125" s="50">
        <v>1337</v>
      </c>
      <c r="AO125" s="50">
        <v>1366</v>
      </c>
      <c r="AP125" s="50">
        <v>1390</v>
      </c>
      <c r="AQ125" s="50">
        <v>1411</v>
      </c>
      <c r="AR125" s="50">
        <v>1426</v>
      </c>
      <c r="AS125" s="50">
        <v>1434</v>
      </c>
      <c r="AT125" s="50">
        <v>1438</v>
      </c>
      <c r="AU125" s="50">
        <v>1436</v>
      </c>
      <c r="AV125" s="50">
        <v>1433</v>
      </c>
      <c r="AW125" s="50">
        <v>1430</v>
      </c>
      <c r="AX125" s="50">
        <v>1424</v>
      </c>
      <c r="AY125" s="50">
        <v>1418</v>
      </c>
      <c r="AZ125" s="50">
        <v>1308</v>
      </c>
      <c r="BA125" s="50">
        <v>1307</v>
      </c>
      <c r="BB125" s="50">
        <v>1310</v>
      </c>
      <c r="BC125" s="50">
        <v>1304</v>
      </c>
      <c r="BD125" s="50">
        <v>1297</v>
      </c>
      <c r="BE125" s="50">
        <v>1290</v>
      </c>
      <c r="BF125" s="50">
        <v>1282</v>
      </c>
      <c r="BG125" s="50">
        <v>1269</v>
      </c>
      <c r="BH125" s="50">
        <v>1260</v>
      </c>
      <c r="BI125" s="50">
        <v>1252</v>
      </c>
      <c r="BJ125" s="50">
        <v>1241</v>
      </c>
      <c r="BK125" s="50">
        <v>1231</v>
      </c>
    </row>
    <row r="126" spans="3:63" ht="15.75">
      <c r="C126" s="2" t="s">
        <v>12</v>
      </c>
      <c r="D126" s="50">
        <v>1505</v>
      </c>
      <c r="E126" s="51">
        <v>1517</v>
      </c>
      <c r="F126" s="50">
        <v>1523</v>
      </c>
      <c r="G126" s="51">
        <v>1522</v>
      </c>
      <c r="H126" s="50">
        <v>1512</v>
      </c>
      <c r="I126" s="51">
        <v>1500</v>
      </c>
      <c r="J126" s="50">
        <v>1484</v>
      </c>
      <c r="K126" s="50">
        <v>1465</v>
      </c>
      <c r="L126" s="50">
        <v>1443</v>
      </c>
      <c r="M126" s="50">
        <v>1418</v>
      </c>
      <c r="N126" s="50">
        <v>1391</v>
      </c>
      <c r="O126" s="50">
        <v>1365</v>
      </c>
      <c r="P126" s="50">
        <v>1498</v>
      </c>
      <c r="Q126" s="50">
        <v>1505</v>
      </c>
      <c r="R126" s="50">
        <v>1499</v>
      </c>
      <c r="S126" s="50">
        <v>1495</v>
      </c>
      <c r="T126" s="50">
        <v>1484</v>
      </c>
      <c r="U126" s="50">
        <v>1473</v>
      </c>
      <c r="V126" s="50">
        <v>1454</v>
      </c>
      <c r="W126" s="50">
        <v>1434</v>
      </c>
      <c r="X126" s="50">
        <v>1418</v>
      </c>
      <c r="Y126" s="50">
        <v>1400</v>
      </c>
      <c r="Z126" s="50">
        <v>1379</v>
      </c>
      <c r="AA126" s="50">
        <v>1361</v>
      </c>
      <c r="AB126" s="50">
        <v>1483</v>
      </c>
      <c r="AC126" s="50">
        <v>1474</v>
      </c>
      <c r="AD126" s="50">
        <v>1456</v>
      </c>
      <c r="AE126" s="50">
        <v>1436</v>
      </c>
      <c r="AF126" s="50">
        <v>1413</v>
      </c>
      <c r="AG126" s="50">
        <v>1390</v>
      </c>
      <c r="AH126" s="50">
        <v>1367</v>
      </c>
      <c r="AI126" s="50">
        <v>1345</v>
      </c>
      <c r="AJ126" s="50">
        <v>1322</v>
      </c>
      <c r="AK126" s="50">
        <v>1301</v>
      </c>
      <c r="AL126" s="50">
        <v>1282</v>
      </c>
      <c r="AM126" s="50">
        <v>1261</v>
      </c>
      <c r="AN126" s="50">
        <v>1505</v>
      </c>
      <c r="AO126" s="50">
        <v>1518</v>
      </c>
      <c r="AP126" s="50">
        <v>1521</v>
      </c>
      <c r="AQ126" s="50">
        <v>1518</v>
      </c>
      <c r="AR126" s="50">
        <v>1514</v>
      </c>
      <c r="AS126" s="50">
        <v>1505</v>
      </c>
      <c r="AT126" s="50">
        <v>1492</v>
      </c>
      <c r="AU126" s="50">
        <v>1473</v>
      </c>
      <c r="AV126" s="50">
        <v>1453</v>
      </c>
      <c r="AW126" s="50">
        <v>1438</v>
      </c>
      <c r="AX126" s="50">
        <v>1419</v>
      </c>
      <c r="AY126" s="50">
        <v>1402</v>
      </c>
      <c r="AZ126" s="50">
        <v>1496</v>
      </c>
      <c r="BA126" s="50">
        <v>1495</v>
      </c>
      <c r="BB126" s="50">
        <v>1487</v>
      </c>
      <c r="BC126" s="50">
        <v>1472</v>
      </c>
      <c r="BD126" s="50">
        <v>1458</v>
      </c>
      <c r="BE126" s="50">
        <v>1437</v>
      </c>
      <c r="BF126" s="50">
        <v>1419</v>
      </c>
      <c r="BG126" s="50">
        <v>1398</v>
      </c>
      <c r="BH126" s="50">
        <v>1377</v>
      </c>
      <c r="BI126" s="50">
        <v>1356</v>
      </c>
      <c r="BJ126" s="50">
        <v>1337</v>
      </c>
      <c r="BK126" s="50">
        <v>1323</v>
      </c>
    </row>
    <row r="127" spans="3:63" ht="15.75">
      <c r="C127" s="2" t="s">
        <v>13</v>
      </c>
      <c r="D127" s="50">
        <v>1526</v>
      </c>
      <c r="E127" s="51">
        <v>1525</v>
      </c>
      <c r="F127" s="50">
        <v>1519</v>
      </c>
      <c r="G127" s="51">
        <v>1509</v>
      </c>
      <c r="H127" s="50">
        <v>1493</v>
      </c>
      <c r="I127" s="51">
        <v>1473</v>
      </c>
      <c r="J127" s="50">
        <v>1451</v>
      </c>
      <c r="K127" s="50">
        <v>1428</v>
      </c>
      <c r="L127" s="50">
        <v>1398</v>
      </c>
      <c r="M127" s="50">
        <v>1368</v>
      </c>
      <c r="N127" s="50">
        <v>1339</v>
      </c>
      <c r="O127" s="50">
        <v>1308</v>
      </c>
      <c r="P127" s="50">
        <v>1520</v>
      </c>
      <c r="Q127" s="50">
        <v>1517</v>
      </c>
      <c r="R127" s="50">
        <v>1505</v>
      </c>
      <c r="S127" s="50">
        <v>1490</v>
      </c>
      <c r="T127" s="50">
        <v>1471</v>
      </c>
      <c r="U127" s="50">
        <v>1454</v>
      </c>
      <c r="V127" s="50">
        <v>1429</v>
      </c>
      <c r="W127" s="50">
        <v>1405</v>
      </c>
      <c r="X127" s="50">
        <v>1383</v>
      </c>
      <c r="Y127" s="50">
        <v>1360</v>
      </c>
      <c r="Z127" s="50">
        <v>1339</v>
      </c>
      <c r="AA127" s="50">
        <v>1318</v>
      </c>
      <c r="AB127" s="50">
        <v>1512</v>
      </c>
      <c r="AC127" s="50">
        <v>1499</v>
      </c>
      <c r="AD127" s="50">
        <v>1475</v>
      </c>
      <c r="AE127" s="50">
        <v>1452</v>
      </c>
      <c r="AF127" s="50">
        <v>1428</v>
      </c>
      <c r="AG127" s="50">
        <v>1400</v>
      </c>
      <c r="AH127" s="50">
        <v>1378</v>
      </c>
      <c r="AI127" s="50">
        <v>1358</v>
      </c>
      <c r="AJ127" s="50">
        <v>1329</v>
      </c>
      <c r="AK127" s="50">
        <v>1304</v>
      </c>
      <c r="AL127" s="50">
        <v>1285</v>
      </c>
      <c r="AM127" s="50">
        <v>1266</v>
      </c>
      <c r="AN127" s="50">
        <v>1534</v>
      </c>
      <c r="AO127" s="50">
        <v>1539</v>
      </c>
      <c r="AP127" s="50">
        <v>1540</v>
      </c>
      <c r="AQ127" s="50">
        <v>1530</v>
      </c>
      <c r="AR127" s="50">
        <v>1518</v>
      </c>
      <c r="AS127" s="50">
        <v>1502</v>
      </c>
      <c r="AT127" s="50">
        <v>1487</v>
      </c>
      <c r="AU127" s="50">
        <v>1466</v>
      </c>
      <c r="AV127" s="50">
        <v>1447</v>
      </c>
      <c r="AW127" s="50">
        <v>1422</v>
      </c>
      <c r="AX127" s="50">
        <v>1403</v>
      </c>
      <c r="AY127" s="50">
        <v>1383</v>
      </c>
      <c r="AZ127" s="50">
        <v>1530</v>
      </c>
      <c r="BA127" s="50">
        <v>1532</v>
      </c>
      <c r="BB127" s="50">
        <v>1527</v>
      </c>
      <c r="BC127" s="50">
        <v>1509</v>
      </c>
      <c r="BD127" s="50">
        <v>1495</v>
      </c>
      <c r="BE127" s="50">
        <v>1475</v>
      </c>
      <c r="BF127" s="50">
        <v>1454</v>
      </c>
      <c r="BG127" s="50">
        <v>1432</v>
      </c>
      <c r="BH127" s="50">
        <v>1412</v>
      </c>
      <c r="BI127" s="50">
        <v>1393</v>
      </c>
      <c r="BJ127" s="50">
        <v>1372</v>
      </c>
      <c r="BK127" s="50">
        <v>1352</v>
      </c>
    </row>
    <row r="128" spans="3:63" ht="15.75">
      <c r="C128" s="2" t="s">
        <v>14</v>
      </c>
      <c r="D128" s="50">
        <v>1597</v>
      </c>
      <c r="E128" s="51">
        <v>1606</v>
      </c>
      <c r="F128" s="50">
        <v>1609</v>
      </c>
      <c r="G128" s="51">
        <v>1604</v>
      </c>
      <c r="H128" s="50">
        <v>1594</v>
      </c>
      <c r="I128" s="51">
        <v>1579</v>
      </c>
      <c r="J128" s="50">
        <v>1560</v>
      </c>
      <c r="K128" s="50">
        <v>1536</v>
      </c>
      <c r="L128" s="50">
        <v>1511</v>
      </c>
      <c r="M128" s="50">
        <v>1482</v>
      </c>
      <c r="N128" s="50">
        <v>1455</v>
      </c>
      <c r="O128" s="50">
        <v>1429</v>
      </c>
      <c r="P128" s="50">
        <v>1599</v>
      </c>
      <c r="Q128" s="50">
        <v>1603</v>
      </c>
      <c r="R128" s="50">
        <v>1599</v>
      </c>
      <c r="S128" s="50">
        <v>1595</v>
      </c>
      <c r="T128" s="50">
        <v>1582</v>
      </c>
      <c r="U128" s="50">
        <v>1568</v>
      </c>
      <c r="V128" s="50">
        <v>1548</v>
      </c>
      <c r="W128" s="50">
        <v>1527</v>
      </c>
      <c r="X128" s="50">
        <v>1507</v>
      </c>
      <c r="Y128" s="50">
        <v>1486</v>
      </c>
      <c r="Z128" s="50">
        <v>1464</v>
      </c>
      <c r="AA128" s="50">
        <v>1444</v>
      </c>
      <c r="AB128" s="50">
        <v>1585</v>
      </c>
      <c r="AC128" s="50">
        <v>1575</v>
      </c>
      <c r="AD128" s="50">
        <v>1560</v>
      </c>
      <c r="AE128" s="50">
        <v>1543</v>
      </c>
      <c r="AF128" s="50">
        <v>1521</v>
      </c>
      <c r="AG128" s="50">
        <v>1498</v>
      </c>
      <c r="AH128" s="50">
        <v>1479</v>
      </c>
      <c r="AI128" s="50">
        <v>1452</v>
      </c>
      <c r="AJ128" s="50">
        <v>1425</v>
      </c>
      <c r="AK128" s="50">
        <v>1404</v>
      </c>
      <c r="AL128" s="50">
        <v>1384</v>
      </c>
      <c r="AM128" s="50">
        <v>1364</v>
      </c>
      <c r="AN128" s="50">
        <v>1591</v>
      </c>
      <c r="AO128" s="50">
        <v>1601</v>
      </c>
      <c r="AP128" s="50">
        <v>1606</v>
      </c>
      <c r="AQ128" s="50">
        <v>1596</v>
      </c>
      <c r="AR128" s="50">
        <v>1588</v>
      </c>
      <c r="AS128" s="50">
        <v>1576</v>
      </c>
      <c r="AT128" s="50">
        <v>1563</v>
      </c>
      <c r="AU128" s="50">
        <v>1543</v>
      </c>
      <c r="AV128" s="50">
        <v>1520</v>
      </c>
      <c r="AW128" s="50">
        <v>1498</v>
      </c>
      <c r="AX128" s="50">
        <v>1479</v>
      </c>
      <c r="AY128" s="50">
        <v>1458</v>
      </c>
      <c r="AZ128" s="50">
        <v>1579</v>
      </c>
      <c r="BA128" s="50">
        <v>1580</v>
      </c>
      <c r="BB128" s="50">
        <v>1569</v>
      </c>
      <c r="BC128" s="50">
        <v>1551</v>
      </c>
      <c r="BD128" s="50">
        <v>1533</v>
      </c>
      <c r="BE128" s="50">
        <v>1512</v>
      </c>
      <c r="BF128" s="50">
        <v>1486</v>
      </c>
      <c r="BG128" s="50">
        <v>1464</v>
      </c>
      <c r="BH128" s="50">
        <v>1445</v>
      </c>
      <c r="BI128" s="50">
        <v>1421</v>
      </c>
      <c r="BJ128" s="50">
        <v>1397</v>
      </c>
      <c r="BK128" s="50">
        <v>1379</v>
      </c>
    </row>
    <row r="129" spans="3:63" ht="15.75">
      <c r="C129" s="2" t="s">
        <v>15</v>
      </c>
      <c r="D129" s="50">
        <v>1389</v>
      </c>
      <c r="E129" s="51">
        <v>1421</v>
      </c>
      <c r="F129" s="50">
        <v>1447</v>
      </c>
      <c r="G129" s="51">
        <v>1457</v>
      </c>
      <c r="H129" s="50">
        <v>1466</v>
      </c>
      <c r="I129" s="51">
        <v>1465</v>
      </c>
      <c r="J129" s="50">
        <v>1462</v>
      </c>
      <c r="K129" s="50">
        <v>1455</v>
      </c>
      <c r="L129" s="50">
        <v>1441</v>
      </c>
      <c r="M129" s="50">
        <v>1429</v>
      </c>
      <c r="N129" s="50">
        <v>1414</v>
      </c>
      <c r="O129" s="50">
        <v>1398</v>
      </c>
      <c r="P129" s="50">
        <v>1376</v>
      </c>
      <c r="Q129" s="50">
        <v>1390</v>
      </c>
      <c r="R129" s="50">
        <v>1405</v>
      </c>
      <c r="S129" s="50">
        <v>1414</v>
      </c>
      <c r="T129" s="50">
        <v>1415</v>
      </c>
      <c r="U129" s="50">
        <v>1410</v>
      </c>
      <c r="V129" s="50">
        <v>1403</v>
      </c>
      <c r="W129" s="50">
        <v>1397</v>
      </c>
      <c r="X129" s="50">
        <v>1388</v>
      </c>
      <c r="Y129" s="50">
        <v>1375</v>
      </c>
      <c r="Z129" s="50">
        <v>1363</v>
      </c>
      <c r="AA129" s="50">
        <v>1349</v>
      </c>
      <c r="AB129" s="50">
        <v>1342</v>
      </c>
      <c r="AC129" s="50">
        <v>1338</v>
      </c>
      <c r="AD129" s="50">
        <v>1329</v>
      </c>
      <c r="AE129" s="50">
        <v>1312</v>
      </c>
      <c r="AF129" s="50">
        <v>1293</v>
      </c>
      <c r="AG129" s="50">
        <v>1275</v>
      </c>
      <c r="AH129" s="50">
        <v>1254</v>
      </c>
      <c r="AI129" s="50">
        <v>1236</v>
      </c>
      <c r="AJ129" s="50">
        <v>1217</v>
      </c>
      <c r="AK129" s="50">
        <v>1200</v>
      </c>
      <c r="AL129" s="50">
        <v>1179</v>
      </c>
      <c r="AM129" s="50">
        <v>1160</v>
      </c>
      <c r="AN129" s="50">
        <v>1385</v>
      </c>
      <c r="AO129" s="50">
        <v>1408</v>
      </c>
      <c r="AP129" s="50">
        <v>1420</v>
      </c>
      <c r="AQ129" s="50">
        <v>1432</v>
      </c>
      <c r="AR129" s="50">
        <v>1438</v>
      </c>
      <c r="AS129" s="50">
        <v>1438</v>
      </c>
      <c r="AT129" s="50">
        <v>1436</v>
      </c>
      <c r="AU129" s="50">
        <v>1428</v>
      </c>
      <c r="AV129" s="50">
        <v>1419</v>
      </c>
      <c r="AW129" s="50">
        <v>1406</v>
      </c>
      <c r="AX129" s="50">
        <v>1396</v>
      </c>
      <c r="AY129" s="50">
        <v>1383</v>
      </c>
      <c r="AZ129" s="50">
        <v>1355</v>
      </c>
      <c r="BA129" s="50">
        <v>1352</v>
      </c>
      <c r="BB129" s="50">
        <v>1350</v>
      </c>
      <c r="BC129" s="50">
        <v>1338</v>
      </c>
      <c r="BD129" s="50">
        <v>1327</v>
      </c>
      <c r="BE129" s="50">
        <v>1314</v>
      </c>
      <c r="BF129" s="50">
        <v>1296</v>
      </c>
      <c r="BG129" s="50">
        <v>1280</v>
      </c>
      <c r="BH129" s="50">
        <v>1263</v>
      </c>
      <c r="BI129" s="50">
        <v>1245</v>
      </c>
      <c r="BJ129" s="50">
        <v>1229</v>
      </c>
      <c r="BK129" s="50">
        <v>1213</v>
      </c>
    </row>
    <row r="130" spans="3:63" ht="15.75">
      <c r="C130" s="2" t="s">
        <v>16</v>
      </c>
      <c r="D130" s="50">
        <v>1032</v>
      </c>
      <c r="E130" s="51">
        <v>1076</v>
      </c>
      <c r="F130" s="50">
        <v>1114</v>
      </c>
      <c r="G130" s="51">
        <v>1144</v>
      </c>
      <c r="H130" s="50">
        <v>1167</v>
      </c>
      <c r="I130" s="51">
        <v>1183</v>
      </c>
      <c r="J130" s="50">
        <v>1198</v>
      </c>
      <c r="K130" s="50">
        <v>1203</v>
      </c>
      <c r="L130" s="50">
        <v>1209</v>
      </c>
      <c r="M130" s="50">
        <v>1211</v>
      </c>
      <c r="N130" s="50">
        <v>1209</v>
      </c>
      <c r="O130" s="50">
        <v>1206</v>
      </c>
      <c r="P130" s="50">
        <v>1017</v>
      </c>
      <c r="Q130" s="50">
        <v>1051</v>
      </c>
      <c r="R130" s="50">
        <v>1079</v>
      </c>
      <c r="S130" s="50">
        <v>1098</v>
      </c>
      <c r="T130" s="50">
        <v>1111</v>
      </c>
      <c r="U130" s="50">
        <v>1121</v>
      </c>
      <c r="V130" s="50">
        <v>1129</v>
      </c>
      <c r="W130" s="50">
        <v>1132</v>
      </c>
      <c r="X130" s="50">
        <v>1133</v>
      </c>
      <c r="Y130" s="50">
        <v>1130</v>
      </c>
      <c r="Z130" s="50">
        <v>1128</v>
      </c>
      <c r="AA130" s="50">
        <v>1120</v>
      </c>
      <c r="AB130" s="2">
        <v>980</v>
      </c>
      <c r="AC130" s="2">
        <v>977</v>
      </c>
      <c r="AD130" s="2">
        <v>971</v>
      </c>
      <c r="AE130" s="2">
        <v>966</v>
      </c>
      <c r="AF130" s="2">
        <v>956</v>
      </c>
      <c r="AG130" s="2">
        <v>944</v>
      </c>
      <c r="AH130" s="2">
        <v>937</v>
      </c>
      <c r="AI130" s="2">
        <v>928</v>
      </c>
      <c r="AJ130" s="2">
        <v>915</v>
      </c>
      <c r="AK130" s="2">
        <v>904</v>
      </c>
      <c r="AL130" s="2">
        <v>890</v>
      </c>
      <c r="AM130" s="2">
        <v>880</v>
      </c>
      <c r="AN130" s="50">
        <v>1016</v>
      </c>
      <c r="AO130" s="50">
        <v>1052</v>
      </c>
      <c r="AP130" s="50">
        <v>1083</v>
      </c>
      <c r="AQ130" s="50">
        <v>1103</v>
      </c>
      <c r="AR130" s="50">
        <v>1119</v>
      </c>
      <c r="AS130" s="50">
        <v>1128</v>
      </c>
      <c r="AT130" s="50">
        <v>1134</v>
      </c>
      <c r="AU130" s="50">
        <v>1141</v>
      </c>
      <c r="AV130" s="50">
        <v>1142</v>
      </c>
      <c r="AW130" s="50">
        <v>1141</v>
      </c>
      <c r="AX130" s="50">
        <v>1136</v>
      </c>
      <c r="AY130" s="50">
        <v>1133</v>
      </c>
      <c r="AZ130" s="2">
        <v>981</v>
      </c>
      <c r="BA130" s="2">
        <v>983</v>
      </c>
      <c r="BB130" s="2">
        <v>977</v>
      </c>
      <c r="BC130" s="2">
        <v>973</v>
      </c>
      <c r="BD130" s="2">
        <v>969</v>
      </c>
      <c r="BE130" s="2">
        <v>957</v>
      </c>
      <c r="BF130" s="2">
        <v>949</v>
      </c>
      <c r="BG130" s="2">
        <v>941</v>
      </c>
      <c r="BH130" s="2">
        <v>930</v>
      </c>
      <c r="BI130" s="2">
        <v>921</v>
      </c>
      <c r="BJ130" s="2">
        <v>912</v>
      </c>
      <c r="BK130" s="2">
        <v>902</v>
      </c>
    </row>
    <row r="131" spans="3:63" ht="15.75">
      <c r="C131" s="2" t="s">
        <v>17</v>
      </c>
      <c r="D131" s="50">
        <v>749</v>
      </c>
      <c r="E131" s="51">
        <v>811</v>
      </c>
      <c r="F131" s="50">
        <v>867</v>
      </c>
      <c r="G131" s="51">
        <v>912</v>
      </c>
      <c r="H131" s="50">
        <v>952</v>
      </c>
      <c r="I131" s="51">
        <v>985</v>
      </c>
      <c r="J131" s="50">
        <v>1010</v>
      </c>
      <c r="K131" s="50">
        <v>1033</v>
      </c>
      <c r="L131" s="50">
        <v>1049</v>
      </c>
      <c r="M131" s="50">
        <v>1062</v>
      </c>
      <c r="N131" s="50">
        <v>1070</v>
      </c>
      <c r="O131" s="50">
        <v>1077</v>
      </c>
      <c r="P131" s="50">
        <v>729</v>
      </c>
      <c r="Q131" s="2">
        <v>772</v>
      </c>
      <c r="R131" s="50">
        <v>809</v>
      </c>
      <c r="S131" s="50">
        <v>839</v>
      </c>
      <c r="T131" s="2">
        <v>863</v>
      </c>
      <c r="U131" s="50">
        <v>883</v>
      </c>
      <c r="V131" s="2">
        <v>900</v>
      </c>
      <c r="W131" s="2">
        <v>910</v>
      </c>
      <c r="X131" s="2">
        <v>920</v>
      </c>
      <c r="Y131" s="2">
        <v>924</v>
      </c>
      <c r="Z131" s="2">
        <v>927</v>
      </c>
      <c r="AA131" s="2">
        <v>926</v>
      </c>
      <c r="AB131" s="2">
        <v>677</v>
      </c>
      <c r="AC131" s="2">
        <v>681</v>
      </c>
      <c r="AD131" s="2">
        <v>679</v>
      </c>
      <c r="AE131" s="2">
        <v>674</v>
      </c>
      <c r="AF131" s="2">
        <v>669</v>
      </c>
      <c r="AG131" s="2">
        <v>666</v>
      </c>
      <c r="AH131" s="2">
        <v>658</v>
      </c>
      <c r="AI131" s="2">
        <v>653</v>
      </c>
      <c r="AJ131" s="2">
        <v>647</v>
      </c>
      <c r="AK131" s="2">
        <v>640</v>
      </c>
      <c r="AL131" s="2">
        <v>635</v>
      </c>
      <c r="AM131" s="2">
        <v>630</v>
      </c>
      <c r="AN131" s="2">
        <v>735</v>
      </c>
      <c r="AO131" s="2">
        <v>779</v>
      </c>
      <c r="AP131" s="2">
        <v>818</v>
      </c>
      <c r="AQ131" s="2">
        <v>850</v>
      </c>
      <c r="AR131" s="2">
        <v>875</v>
      </c>
      <c r="AS131" s="2">
        <v>894</v>
      </c>
      <c r="AT131" s="2">
        <v>910</v>
      </c>
      <c r="AU131" s="2">
        <v>920</v>
      </c>
      <c r="AV131" s="2">
        <v>928</v>
      </c>
      <c r="AW131" s="2">
        <v>933</v>
      </c>
      <c r="AX131" s="2">
        <v>933</v>
      </c>
      <c r="AY131" s="2">
        <v>939</v>
      </c>
      <c r="AZ131" s="2">
        <v>688</v>
      </c>
      <c r="BA131" s="2">
        <v>688</v>
      </c>
      <c r="BB131" s="2">
        <v>686</v>
      </c>
      <c r="BC131" s="2">
        <v>687</v>
      </c>
      <c r="BD131" s="2">
        <v>685</v>
      </c>
      <c r="BE131" s="2">
        <v>681</v>
      </c>
      <c r="BF131" s="2">
        <v>677</v>
      </c>
      <c r="BG131" s="2">
        <v>673</v>
      </c>
      <c r="BH131" s="2">
        <v>670</v>
      </c>
      <c r="BI131" s="2">
        <v>663</v>
      </c>
      <c r="BJ131" s="2">
        <v>656</v>
      </c>
      <c r="BK131" s="2">
        <v>652</v>
      </c>
    </row>
    <row r="132" spans="3:63" ht="15.75">
      <c r="C132" s="2" t="s">
        <v>18</v>
      </c>
      <c r="D132" s="2">
        <v>377</v>
      </c>
      <c r="E132" s="3">
        <v>421</v>
      </c>
      <c r="F132" s="2">
        <v>459</v>
      </c>
      <c r="G132" s="3">
        <v>493</v>
      </c>
      <c r="H132" s="2">
        <v>524</v>
      </c>
      <c r="I132" s="3">
        <v>548</v>
      </c>
      <c r="J132" s="2">
        <v>568</v>
      </c>
      <c r="K132" s="2">
        <v>584</v>
      </c>
      <c r="L132" s="2">
        <v>600</v>
      </c>
      <c r="M132" s="2">
        <v>609</v>
      </c>
      <c r="N132" s="2">
        <v>619</v>
      </c>
      <c r="O132" s="2">
        <v>627</v>
      </c>
      <c r="P132" s="2">
        <v>362</v>
      </c>
      <c r="Q132" s="2">
        <v>393</v>
      </c>
      <c r="R132" s="2">
        <v>419</v>
      </c>
      <c r="S132" s="2">
        <v>443</v>
      </c>
      <c r="T132" s="2">
        <v>464</v>
      </c>
      <c r="U132" s="2">
        <v>481</v>
      </c>
      <c r="V132" s="2">
        <v>492</v>
      </c>
      <c r="W132" s="2">
        <v>501</v>
      </c>
      <c r="X132" s="2">
        <v>507</v>
      </c>
      <c r="Y132" s="2">
        <v>513</v>
      </c>
      <c r="Z132" s="2">
        <v>519</v>
      </c>
      <c r="AA132" s="2">
        <v>521</v>
      </c>
      <c r="AB132" s="2">
        <v>329</v>
      </c>
      <c r="AC132" s="2">
        <v>329</v>
      </c>
      <c r="AD132" s="2">
        <v>328</v>
      </c>
      <c r="AE132" s="2">
        <v>329</v>
      </c>
      <c r="AF132" s="2">
        <v>326</v>
      </c>
      <c r="AG132" s="2">
        <v>325</v>
      </c>
      <c r="AH132" s="2">
        <v>322</v>
      </c>
      <c r="AI132" s="2">
        <v>320</v>
      </c>
      <c r="AJ132" s="2">
        <v>318</v>
      </c>
      <c r="AK132" s="2">
        <v>313</v>
      </c>
      <c r="AL132" s="2">
        <v>310</v>
      </c>
      <c r="AM132" s="2">
        <v>305</v>
      </c>
      <c r="AN132" s="2">
        <v>360</v>
      </c>
      <c r="AO132" s="2">
        <v>394</v>
      </c>
      <c r="AP132" s="2">
        <v>422</v>
      </c>
      <c r="AQ132" s="2">
        <v>445</v>
      </c>
      <c r="AR132" s="2">
        <v>466</v>
      </c>
      <c r="AS132" s="2">
        <v>481</v>
      </c>
      <c r="AT132" s="2">
        <v>494</v>
      </c>
      <c r="AU132" s="2">
        <v>504</v>
      </c>
      <c r="AV132" s="2">
        <v>512</v>
      </c>
      <c r="AW132" s="2">
        <v>517</v>
      </c>
      <c r="AX132" s="2">
        <v>522</v>
      </c>
      <c r="AY132" s="2">
        <v>526</v>
      </c>
      <c r="AZ132" s="2">
        <v>329</v>
      </c>
      <c r="BA132" s="2">
        <v>330</v>
      </c>
      <c r="BB132" s="2">
        <v>331</v>
      </c>
      <c r="BC132" s="2">
        <v>329</v>
      </c>
      <c r="BD132" s="2">
        <v>329</v>
      </c>
      <c r="BE132" s="2">
        <v>326</v>
      </c>
      <c r="BF132" s="2">
        <v>327</v>
      </c>
      <c r="BG132" s="2">
        <v>323</v>
      </c>
      <c r="BH132" s="2">
        <v>320</v>
      </c>
      <c r="BI132" s="2">
        <v>315</v>
      </c>
      <c r="BJ132" s="2">
        <v>313</v>
      </c>
      <c r="BK132" s="2">
        <v>311</v>
      </c>
    </row>
    <row r="133" spans="3:63" ht="15.75">
      <c r="C133" s="2" t="s">
        <v>19</v>
      </c>
      <c r="D133" s="2">
        <v>393</v>
      </c>
      <c r="E133" s="3">
        <v>445</v>
      </c>
      <c r="F133" s="2">
        <v>491</v>
      </c>
      <c r="G133" s="3">
        <v>533</v>
      </c>
      <c r="H133" s="2">
        <v>570</v>
      </c>
      <c r="I133" s="3">
        <v>598</v>
      </c>
      <c r="J133" s="2">
        <v>625</v>
      </c>
      <c r="K133" s="2">
        <v>648</v>
      </c>
      <c r="L133" s="2">
        <v>667</v>
      </c>
      <c r="M133" s="2">
        <v>683</v>
      </c>
      <c r="N133" s="2">
        <v>698</v>
      </c>
      <c r="O133" s="2">
        <v>707</v>
      </c>
      <c r="P133" s="2">
        <v>375</v>
      </c>
      <c r="Q133" s="2">
        <v>410</v>
      </c>
      <c r="R133" s="2">
        <v>442</v>
      </c>
      <c r="S133" s="2">
        <v>470</v>
      </c>
      <c r="T133" s="2">
        <v>495</v>
      </c>
      <c r="U133" s="2">
        <v>515</v>
      </c>
      <c r="V133" s="2">
        <v>532</v>
      </c>
      <c r="W133" s="2">
        <v>546</v>
      </c>
      <c r="X133" s="2">
        <v>559</v>
      </c>
      <c r="Y133" s="2">
        <v>567</v>
      </c>
      <c r="Z133" s="2">
        <v>576</v>
      </c>
      <c r="AA133" s="2">
        <v>581</v>
      </c>
      <c r="AB133" s="2">
        <v>338</v>
      </c>
      <c r="AC133" s="2">
        <v>338</v>
      </c>
      <c r="AD133" s="2">
        <v>339</v>
      </c>
      <c r="AE133" s="2">
        <v>338</v>
      </c>
      <c r="AF133" s="2">
        <v>338</v>
      </c>
      <c r="AG133" s="2">
        <v>338</v>
      </c>
      <c r="AH133" s="2">
        <v>339</v>
      </c>
      <c r="AI133" s="2">
        <v>338</v>
      </c>
      <c r="AJ133" s="2">
        <v>337</v>
      </c>
      <c r="AK133" s="2">
        <v>337</v>
      </c>
      <c r="AL133" s="2">
        <v>335</v>
      </c>
      <c r="AM133" s="2">
        <v>336</v>
      </c>
      <c r="AN133" s="2">
        <v>377</v>
      </c>
      <c r="AO133" s="2">
        <v>413</v>
      </c>
      <c r="AP133" s="2">
        <v>445</v>
      </c>
      <c r="AQ133" s="2">
        <v>474</v>
      </c>
      <c r="AR133" s="2">
        <v>497</v>
      </c>
      <c r="AS133" s="2">
        <v>517</v>
      </c>
      <c r="AT133" s="2">
        <v>534</v>
      </c>
      <c r="AU133" s="2">
        <v>549</v>
      </c>
      <c r="AV133" s="2">
        <v>562</v>
      </c>
      <c r="AW133" s="2">
        <v>571</v>
      </c>
      <c r="AX133" s="2">
        <v>576</v>
      </c>
      <c r="AY133" s="2">
        <v>584</v>
      </c>
      <c r="AZ133" s="2">
        <v>336</v>
      </c>
      <c r="BA133" s="2">
        <v>339</v>
      </c>
      <c r="BB133" s="2">
        <v>340</v>
      </c>
      <c r="BC133" s="2">
        <v>342</v>
      </c>
      <c r="BD133" s="2">
        <v>340</v>
      </c>
      <c r="BE133" s="2">
        <v>341</v>
      </c>
      <c r="BF133" s="2">
        <v>341</v>
      </c>
      <c r="BG133" s="2">
        <v>341</v>
      </c>
      <c r="BH133" s="2">
        <v>342</v>
      </c>
      <c r="BI133" s="2">
        <v>340</v>
      </c>
      <c r="BJ133" s="2">
        <v>338</v>
      </c>
      <c r="BK133" s="2">
        <v>339</v>
      </c>
    </row>
    <row r="134" spans="3:63" ht="15.75">
      <c r="C134" s="2" t="s">
        <v>20</v>
      </c>
      <c r="D134" s="50">
        <v>12221</v>
      </c>
      <c r="E134" s="51">
        <v>12694</v>
      </c>
      <c r="F134" s="50">
        <v>13090</v>
      </c>
      <c r="G134" s="51">
        <v>13398</v>
      </c>
      <c r="H134" s="50">
        <v>13634</v>
      </c>
      <c r="I134" s="51">
        <v>13791</v>
      </c>
      <c r="J134" s="50">
        <v>13903</v>
      </c>
      <c r="K134" s="50">
        <v>13961</v>
      </c>
      <c r="L134" s="50">
        <v>13974</v>
      </c>
      <c r="M134" s="50">
        <v>13954</v>
      </c>
      <c r="N134" s="50">
        <v>13911</v>
      </c>
      <c r="O134" s="50">
        <v>13852</v>
      </c>
      <c r="P134" s="50">
        <v>12051</v>
      </c>
      <c r="Q134" s="50">
        <v>12368</v>
      </c>
      <c r="R134" s="50">
        <v>12613</v>
      </c>
      <c r="S134" s="50">
        <v>12815</v>
      </c>
      <c r="T134" s="50">
        <v>12939</v>
      </c>
      <c r="U134" s="50">
        <v>13024</v>
      </c>
      <c r="V134" s="50">
        <v>13055</v>
      </c>
      <c r="W134" s="50">
        <v>13058</v>
      </c>
      <c r="X134" s="50">
        <v>13041</v>
      </c>
      <c r="Y134" s="50">
        <v>12998</v>
      </c>
      <c r="Z134" s="50">
        <v>12945</v>
      </c>
      <c r="AA134" s="50">
        <v>12873</v>
      </c>
      <c r="AB134" s="50">
        <v>11648</v>
      </c>
      <c r="AC134" s="50">
        <v>11606</v>
      </c>
      <c r="AD134" s="50">
        <v>11514</v>
      </c>
      <c r="AE134" s="50">
        <v>11415</v>
      </c>
      <c r="AF134" s="50">
        <v>11292</v>
      </c>
      <c r="AG134" s="50">
        <v>11161</v>
      </c>
      <c r="AH134" s="50">
        <v>11036</v>
      </c>
      <c r="AI134" s="50">
        <v>10907</v>
      </c>
      <c r="AJ134" s="50">
        <v>10763</v>
      </c>
      <c r="AK134" s="50">
        <v>10638</v>
      </c>
      <c r="AL134" s="50">
        <v>10510</v>
      </c>
      <c r="AM134" s="50">
        <v>10391</v>
      </c>
      <c r="AN134" s="50">
        <v>12091</v>
      </c>
      <c r="AO134" s="50">
        <v>12448</v>
      </c>
      <c r="AP134" s="50">
        <v>12728</v>
      </c>
      <c r="AQ134" s="50">
        <v>12939</v>
      </c>
      <c r="AR134" s="50">
        <v>13093</v>
      </c>
      <c r="AS134" s="50">
        <v>13191</v>
      </c>
      <c r="AT134" s="50">
        <v>13252</v>
      </c>
      <c r="AU134" s="50">
        <v>13262</v>
      </c>
      <c r="AV134" s="50">
        <v>13246</v>
      </c>
      <c r="AW134" s="50">
        <v>13209</v>
      </c>
      <c r="AX134" s="50">
        <v>13156</v>
      </c>
      <c r="AY134" s="50">
        <v>13103</v>
      </c>
      <c r="AZ134" s="50">
        <v>11706</v>
      </c>
      <c r="BA134" s="50">
        <v>11709</v>
      </c>
      <c r="BB134" s="50">
        <v>11678</v>
      </c>
      <c r="BC134" s="50">
        <v>11595</v>
      </c>
      <c r="BD134" s="50">
        <v>11514</v>
      </c>
      <c r="BE134" s="50">
        <v>11404</v>
      </c>
      <c r="BF134" s="50">
        <v>11295</v>
      </c>
      <c r="BG134" s="50">
        <v>11176</v>
      </c>
      <c r="BH134" s="50">
        <v>11059</v>
      </c>
      <c r="BI134" s="50">
        <v>10933</v>
      </c>
      <c r="BJ134" s="50">
        <v>10811</v>
      </c>
      <c r="BK134" s="50">
        <v>10708</v>
      </c>
    </row>
    <row r="135" spans="2:63" s="90" customFormat="1" ht="16.5" thickBot="1">
      <c r="B135" s="91"/>
      <c r="D135" s="98"/>
      <c r="E135" s="99"/>
      <c r="F135" s="98"/>
      <c r="G135" s="99"/>
      <c r="H135" s="98"/>
      <c r="I135" s="99"/>
      <c r="J135" s="98"/>
      <c r="K135" s="98"/>
      <c r="L135" s="98"/>
      <c r="M135" s="98"/>
      <c r="N135" s="98"/>
      <c r="O135" s="98"/>
      <c r="P135" s="98"/>
      <c r="Q135" s="98"/>
      <c r="R135" s="98"/>
      <c r="S135" s="98"/>
      <c r="T135" s="98"/>
      <c r="U135" s="98"/>
      <c r="V135" s="98"/>
      <c r="W135" s="98"/>
      <c r="X135" s="98"/>
      <c r="Y135" s="98"/>
      <c r="Z135" s="98"/>
      <c r="AA135" s="98"/>
      <c r="AB135" s="98"/>
      <c r="AC135" s="98"/>
      <c r="AD135" s="98"/>
      <c r="AE135" s="98"/>
      <c r="AF135" s="98"/>
      <c r="AG135" s="98"/>
      <c r="AH135" s="98"/>
      <c r="AI135" s="98"/>
      <c r="AJ135" s="98"/>
      <c r="AK135" s="98"/>
      <c r="AL135" s="98"/>
      <c r="AM135" s="98"/>
      <c r="AN135" s="98"/>
      <c r="AO135" s="98"/>
      <c r="AP135" s="98"/>
      <c r="AQ135" s="98"/>
      <c r="AR135" s="98"/>
      <c r="AS135" s="98"/>
      <c r="AT135" s="98"/>
      <c r="AU135" s="98"/>
      <c r="AV135" s="98"/>
      <c r="AW135" s="98"/>
      <c r="AX135" s="98"/>
      <c r="AY135" s="98"/>
      <c r="AZ135" s="98"/>
      <c r="BA135" s="98"/>
      <c r="BB135" s="98"/>
      <c r="BC135" s="98"/>
      <c r="BD135" s="98"/>
      <c r="BE135" s="98"/>
      <c r="BF135" s="98"/>
      <c r="BG135" s="98"/>
      <c r="BH135" s="98"/>
      <c r="BI135" s="98"/>
      <c r="BJ135" s="98"/>
      <c r="BK135" s="98"/>
    </row>
    <row r="136" spans="4:21" ht="16.5" thickTop="1">
      <c r="D136" s="111" t="s">
        <v>185</v>
      </c>
      <c r="E136" s="112"/>
      <c r="F136" s="112"/>
      <c r="G136" s="112"/>
      <c r="H136" s="113"/>
      <c r="I136" s="111" t="s">
        <v>167</v>
      </c>
      <c r="J136" s="112"/>
      <c r="K136" s="112"/>
      <c r="L136" s="112"/>
      <c r="M136" s="113"/>
      <c r="N136" s="50"/>
      <c r="O136" s="50"/>
      <c r="P136" s="50"/>
      <c r="Q136" s="50"/>
      <c r="R136" s="50"/>
      <c r="S136" s="50"/>
      <c r="T136" s="50"/>
      <c r="U136" s="50"/>
    </row>
    <row r="137" spans="3:13" ht="15.75">
      <c r="C137" s="46" t="s">
        <v>38</v>
      </c>
      <c r="D137" s="66" t="str">
        <f>E52</f>
        <v>South - 4/12</v>
      </c>
      <c r="E137" s="67" t="str">
        <f>E53</f>
        <v>West - 1/12</v>
      </c>
      <c r="F137" s="67" t="str">
        <f>E54</f>
        <v>East - 1/12</v>
      </c>
      <c r="G137" s="68" t="s">
        <v>174</v>
      </c>
      <c r="H137" s="69"/>
      <c r="I137" s="74" t="str">
        <f>D137</f>
        <v>South - 4/12</v>
      </c>
      <c r="J137" s="74" t="str">
        <f>E137</f>
        <v>West - 1/12</v>
      </c>
      <c r="K137" s="74" t="str">
        <f>F137</f>
        <v>East - 1/12</v>
      </c>
      <c r="L137" s="74" t="str">
        <f>G137</f>
        <v>Total</v>
      </c>
      <c r="M137" s="75" t="s">
        <v>54</v>
      </c>
    </row>
    <row r="138" spans="3:13" ht="15.75">
      <c r="C138" s="2" t="s">
        <v>8</v>
      </c>
      <c r="D138" s="66">
        <f>HLOOKUP($E$52,$D$121:$BK$134,2,FALSE)*$D$43/10</f>
        <v>640</v>
      </c>
      <c r="E138" s="67">
        <f>HLOOKUP($E$53,$D$121:$BK$134,2,FALSE)*$D$44/10</f>
        <v>0</v>
      </c>
      <c r="F138" s="67">
        <f>HLOOKUP($E$54,$D$121:$BK$134,2,FALSE)*$D$45/10</f>
        <v>0</v>
      </c>
      <c r="G138" s="68">
        <f>SUM(D138:F138)</f>
        <v>640</v>
      </c>
      <c r="H138" s="69"/>
      <c r="I138" s="76">
        <f aca="true" t="shared" si="1" ref="I138:I150">D138*$F$58</f>
        <v>253.44</v>
      </c>
      <c r="J138" s="77">
        <f aca="true" t="shared" si="2" ref="J138:J150">E138*$F$58</f>
        <v>0</v>
      </c>
      <c r="K138" s="77">
        <f aca="true" t="shared" si="3" ref="K138:K150">F138*$F$58</f>
        <v>0</v>
      </c>
      <c r="L138" s="68">
        <f>SUM(I138:K138)</f>
        <v>253.44</v>
      </c>
      <c r="M138" s="69">
        <f aca="true" t="shared" si="4" ref="M138:M149">$F$66</f>
        <v>460.81</v>
      </c>
    </row>
    <row r="139" spans="3:13" ht="15.75">
      <c r="C139" s="2" t="s">
        <v>9</v>
      </c>
      <c r="D139" s="66">
        <f>HLOOKUP($E$52,$D$121:$BK$134,3,FALSE)*$D$43/10</f>
        <v>921</v>
      </c>
      <c r="E139" s="67">
        <f>HLOOKUP($E$53,$D$121:$BK$134,3,FALSE)*$D$44/10</f>
        <v>0</v>
      </c>
      <c r="F139" s="67">
        <f>HLOOKUP($E$54,$D$121:$BK$134,3,FALSE)*$D$45/10</f>
        <v>0</v>
      </c>
      <c r="G139" s="68">
        <f aca="true" t="shared" si="5" ref="G139:G150">SUM(D139:F139)</f>
        <v>921</v>
      </c>
      <c r="H139" s="69"/>
      <c r="I139" s="76">
        <f t="shared" si="1"/>
        <v>364.716</v>
      </c>
      <c r="J139" s="77">
        <f t="shared" si="2"/>
        <v>0</v>
      </c>
      <c r="K139" s="77">
        <f t="shared" si="3"/>
        <v>0</v>
      </c>
      <c r="L139" s="68">
        <f aca="true" t="shared" si="6" ref="L139:L150">SUM(I139:K139)</f>
        <v>364.716</v>
      </c>
      <c r="M139" s="69">
        <f t="shared" si="4"/>
        <v>460.81</v>
      </c>
    </row>
    <row r="140" spans="3:13" ht="15.75">
      <c r="C140" s="2" t="s">
        <v>10</v>
      </c>
      <c r="D140" s="66">
        <f>HLOOKUP($E$52,$D$121:$BK$134,4,FALSE)*$D$43/10</f>
        <v>1231</v>
      </c>
      <c r="E140" s="67">
        <f>HLOOKUP($E$53,$D$121:$BK$134,4,FALSE)*$D$44/10</f>
        <v>0</v>
      </c>
      <c r="F140" s="67">
        <f>HLOOKUP($E$54,$D$121:$BK$134,4,FALSE)*$D$45/10</f>
        <v>0</v>
      </c>
      <c r="G140" s="68">
        <f t="shared" si="5"/>
        <v>1231</v>
      </c>
      <c r="H140" s="69"/>
      <c r="I140" s="76">
        <f t="shared" si="1"/>
        <v>487.476</v>
      </c>
      <c r="J140" s="77">
        <f t="shared" si="2"/>
        <v>0</v>
      </c>
      <c r="K140" s="77">
        <f t="shared" si="3"/>
        <v>0</v>
      </c>
      <c r="L140" s="68">
        <f t="shared" si="6"/>
        <v>487.476</v>
      </c>
      <c r="M140" s="69">
        <f t="shared" si="4"/>
        <v>460.81</v>
      </c>
    </row>
    <row r="141" spans="3:13" ht="15.75">
      <c r="C141" s="2" t="s">
        <v>11</v>
      </c>
      <c r="D141" s="66">
        <f>HLOOKUP($E$52,$D$121:$BK$134,5,FALSE)*$D$43/10</f>
        <v>1432</v>
      </c>
      <c r="E141" s="67">
        <f>HLOOKUP($E$53,$D$121:$BK$134,5,FALSE)*$D$44/10</f>
        <v>0</v>
      </c>
      <c r="F141" s="67">
        <f>HLOOKUP($E$54,$D$121:$BK$134,5,FALSE)*$D$45/10</f>
        <v>0</v>
      </c>
      <c r="G141" s="68">
        <f t="shared" si="5"/>
        <v>1432</v>
      </c>
      <c r="H141" s="69"/>
      <c r="I141" s="76">
        <f t="shared" si="1"/>
        <v>567.072</v>
      </c>
      <c r="J141" s="77">
        <f t="shared" si="2"/>
        <v>0</v>
      </c>
      <c r="K141" s="77">
        <f t="shared" si="3"/>
        <v>0</v>
      </c>
      <c r="L141" s="68">
        <f t="shared" si="6"/>
        <v>567.072</v>
      </c>
      <c r="M141" s="69">
        <f t="shared" si="4"/>
        <v>460.81</v>
      </c>
    </row>
    <row r="142" spans="3:13" ht="15.75">
      <c r="C142" s="2" t="s">
        <v>12</v>
      </c>
      <c r="D142" s="66">
        <f>HLOOKUP($E$52,$D$121:$BK$134,6,FALSE)*$D$43/10</f>
        <v>1522</v>
      </c>
      <c r="E142" s="67">
        <f>HLOOKUP($E$53,$D$121:$BK$134,6,FALSE)*$D$44/10</f>
        <v>0</v>
      </c>
      <c r="F142" s="67">
        <f>HLOOKUP($E$54,$D$121:$BK$134,6,FALSE)*$D$45/10</f>
        <v>0</v>
      </c>
      <c r="G142" s="68">
        <f t="shared" si="5"/>
        <v>1522</v>
      </c>
      <c r="H142" s="69"/>
      <c r="I142" s="76">
        <f t="shared" si="1"/>
        <v>602.712</v>
      </c>
      <c r="J142" s="77">
        <f t="shared" si="2"/>
        <v>0</v>
      </c>
      <c r="K142" s="77">
        <f t="shared" si="3"/>
        <v>0</v>
      </c>
      <c r="L142" s="68">
        <f t="shared" si="6"/>
        <v>602.712</v>
      </c>
      <c r="M142" s="69">
        <f t="shared" si="4"/>
        <v>460.81</v>
      </c>
    </row>
    <row r="143" spans="3:13" ht="15.75">
      <c r="C143" s="2" t="s">
        <v>13</v>
      </c>
      <c r="D143" s="66">
        <f>HLOOKUP($E$52,$D$121:$BK$134,7,FALSE)*$D$43/10</f>
        <v>1509</v>
      </c>
      <c r="E143" s="67">
        <f>HLOOKUP($E$53,$D$121:$BK$134,7,FALSE)*$D$44/10</f>
        <v>0</v>
      </c>
      <c r="F143" s="67">
        <f>HLOOKUP($E$54,$D$121:$BK$134,7,FALSE)*$D$45/10</f>
        <v>0</v>
      </c>
      <c r="G143" s="68">
        <f t="shared" si="5"/>
        <v>1509</v>
      </c>
      <c r="H143" s="69"/>
      <c r="I143" s="76">
        <f t="shared" si="1"/>
        <v>597.5640000000001</v>
      </c>
      <c r="J143" s="77">
        <f t="shared" si="2"/>
        <v>0</v>
      </c>
      <c r="K143" s="77">
        <f t="shared" si="3"/>
        <v>0</v>
      </c>
      <c r="L143" s="68">
        <f t="shared" si="6"/>
        <v>597.5640000000001</v>
      </c>
      <c r="M143" s="69">
        <f t="shared" si="4"/>
        <v>460.81</v>
      </c>
    </row>
    <row r="144" spans="3:13" ht="15.75">
      <c r="C144" s="2" t="s">
        <v>14</v>
      </c>
      <c r="D144" s="66">
        <f>HLOOKUP($E$52,$D$121:$BK$134,8,FALSE)*$D$43/10</f>
        <v>1604</v>
      </c>
      <c r="E144" s="67">
        <f>HLOOKUP($E$53,$D$121:$BK$134,8,FALSE)*$D$44/10</f>
        <v>0</v>
      </c>
      <c r="F144" s="67">
        <f>HLOOKUP($E$54,$D$121:$BK$134,8,FALSE)*$D$45/10</f>
        <v>0</v>
      </c>
      <c r="G144" s="68">
        <f t="shared" si="5"/>
        <v>1604</v>
      </c>
      <c r="H144" s="69"/>
      <c r="I144" s="76">
        <f t="shared" si="1"/>
        <v>635.1840000000001</v>
      </c>
      <c r="J144" s="77">
        <f t="shared" si="2"/>
        <v>0</v>
      </c>
      <c r="K144" s="77">
        <f t="shared" si="3"/>
        <v>0</v>
      </c>
      <c r="L144" s="68">
        <f t="shared" si="6"/>
        <v>635.1840000000001</v>
      </c>
      <c r="M144" s="69">
        <f t="shared" si="4"/>
        <v>460.81</v>
      </c>
    </row>
    <row r="145" spans="3:13" ht="15.75">
      <c r="C145" s="2" t="s">
        <v>15</v>
      </c>
      <c r="D145" s="66">
        <f>HLOOKUP($E$52,$D$121:$BK$134,9,FALSE)*$D$43/10</f>
        <v>1457</v>
      </c>
      <c r="E145" s="67">
        <f>HLOOKUP($E$53,$D$121:$BK$134,9,FALSE)*$D$44/10</f>
        <v>0</v>
      </c>
      <c r="F145" s="67">
        <f>HLOOKUP($E$54,$D$121:$BK$134,9,FALSE)*$D$45/10</f>
        <v>0</v>
      </c>
      <c r="G145" s="68">
        <f t="shared" si="5"/>
        <v>1457</v>
      </c>
      <c r="H145" s="69"/>
      <c r="I145" s="76">
        <f t="shared" si="1"/>
        <v>576.972</v>
      </c>
      <c r="J145" s="77">
        <f t="shared" si="2"/>
        <v>0</v>
      </c>
      <c r="K145" s="77">
        <f t="shared" si="3"/>
        <v>0</v>
      </c>
      <c r="L145" s="68">
        <f t="shared" si="6"/>
        <v>576.972</v>
      </c>
      <c r="M145" s="69">
        <f t="shared" si="4"/>
        <v>460.81</v>
      </c>
    </row>
    <row r="146" spans="3:13" ht="15.75">
      <c r="C146" s="2" t="s">
        <v>16</v>
      </c>
      <c r="D146" s="66">
        <f>HLOOKUP($E$52,$D$121:$BK$134,10,FALSE)*$D$43/10</f>
        <v>1144</v>
      </c>
      <c r="E146" s="67">
        <f>HLOOKUP($E$53,$D$121:$BK$134,10,FALSE)*$D$44/10</f>
        <v>0</v>
      </c>
      <c r="F146" s="67">
        <f>HLOOKUP($E$54,$D$121:$BK$134,10,FALSE)*$D$45/10</f>
        <v>0</v>
      </c>
      <c r="G146" s="68">
        <f t="shared" si="5"/>
        <v>1144</v>
      </c>
      <c r="H146" s="69"/>
      <c r="I146" s="76">
        <f t="shared" si="1"/>
        <v>453.024</v>
      </c>
      <c r="J146" s="77">
        <f t="shared" si="2"/>
        <v>0</v>
      </c>
      <c r="K146" s="77">
        <f t="shared" si="3"/>
        <v>0</v>
      </c>
      <c r="L146" s="68">
        <f t="shared" si="6"/>
        <v>453.024</v>
      </c>
      <c r="M146" s="69">
        <f t="shared" si="4"/>
        <v>460.81</v>
      </c>
    </row>
    <row r="147" spans="3:13" ht="15.75">
      <c r="C147" s="2" t="s">
        <v>17</v>
      </c>
      <c r="D147" s="66">
        <f>HLOOKUP($E$52,$D$121:$BK$134,11,FALSE)*$D$43/10</f>
        <v>912</v>
      </c>
      <c r="E147" s="67">
        <f>HLOOKUP($E$53,$D$121:$BK$134,11,FALSE)*$D$44/10</f>
        <v>0</v>
      </c>
      <c r="F147" s="67">
        <f>HLOOKUP($E$54,$D$121:$BK$134,11,FALSE)*$D$45/10</f>
        <v>0</v>
      </c>
      <c r="G147" s="68">
        <f t="shared" si="5"/>
        <v>912</v>
      </c>
      <c r="H147" s="69"/>
      <c r="I147" s="76">
        <f t="shared" si="1"/>
        <v>361.15200000000004</v>
      </c>
      <c r="J147" s="77">
        <f t="shared" si="2"/>
        <v>0</v>
      </c>
      <c r="K147" s="77">
        <f t="shared" si="3"/>
        <v>0</v>
      </c>
      <c r="L147" s="68">
        <f t="shared" si="6"/>
        <v>361.15200000000004</v>
      </c>
      <c r="M147" s="69">
        <f t="shared" si="4"/>
        <v>460.81</v>
      </c>
    </row>
    <row r="148" spans="3:13" ht="15.75">
      <c r="C148" s="2" t="s">
        <v>18</v>
      </c>
      <c r="D148" s="66">
        <f>HLOOKUP($E$52,$D$121:$BK$134,12,FALSE)*$D$43/10</f>
        <v>493</v>
      </c>
      <c r="E148" s="67">
        <f>HLOOKUP($E$53,$D$121:$BK$134,12,FALSE)*$D$44/10</f>
        <v>0</v>
      </c>
      <c r="F148" s="67">
        <f>HLOOKUP($E$54,$D$121:$BK$134,12,FALSE)*$D$45/10</f>
        <v>0</v>
      </c>
      <c r="G148" s="68">
        <f t="shared" si="5"/>
        <v>493</v>
      </c>
      <c r="H148" s="69"/>
      <c r="I148" s="76">
        <f t="shared" si="1"/>
        <v>195.228</v>
      </c>
      <c r="J148" s="77">
        <f t="shared" si="2"/>
        <v>0</v>
      </c>
      <c r="K148" s="77">
        <f t="shared" si="3"/>
        <v>0</v>
      </c>
      <c r="L148" s="68">
        <f t="shared" si="6"/>
        <v>195.228</v>
      </c>
      <c r="M148" s="69">
        <f t="shared" si="4"/>
        <v>460.81</v>
      </c>
    </row>
    <row r="149" spans="3:13" ht="15.75">
      <c r="C149" s="2" t="s">
        <v>19</v>
      </c>
      <c r="D149" s="66">
        <f>HLOOKUP($E$52,$D$121:$BK$134,13,FALSE)*$D$43/10</f>
        <v>533</v>
      </c>
      <c r="E149" s="67">
        <f>HLOOKUP($E$53,$D$121:$BK$134,13,FALSE)*$D$44/10</f>
        <v>0</v>
      </c>
      <c r="F149" s="67">
        <f>HLOOKUP($E$54,$D$121:$BK$134,13,FALSE)*$D$45/10</f>
        <v>0</v>
      </c>
      <c r="G149" s="68">
        <f t="shared" si="5"/>
        <v>533</v>
      </c>
      <c r="H149" s="69"/>
      <c r="I149" s="76">
        <f t="shared" si="1"/>
        <v>211.068</v>
      </c>
      <c r="J149" s="77">
        <f t="shared" si="2"/>
        <v>0</v>
      </c>
      <c r="K149" s="77">
        <f t="shared" si="3"/>
        <v>0</v>
      </c>
      <c r="L149" s="68">
        <f t="shared" si="6"/>
        <v>211.068</v>
      </c>
      <c r="M149" s="69">
        <f t="shared" si="4"/>
        <v>460.81</v>
      </c>
    </row>
    <row r="150" spans="3:13" ht="15.75">
      <c r="C150" s="2" t="s">
        <v>20</v>
      </c>
      <c r="D150" s="70">
        <f>HLOOKUP($E$52,$D$121:$BK$134,14,FALSE)*$D$43/10</f>
        <v>13398</v>
      </c>
      <c r="E150" s="71">
        <f>HLOOKUP($E$53,$D$121:$BK$134,14,FALSE)*$D$44/10</f>
        <v>0</v>
      </c>
      <c r="F150" s="71">
        <f>HLOOKUP($E$54,$D$121:$BK$134,14,FALSE)*$D$45/10</f>
        <v>0</v>
      </c>
      <c r="G150" s="72">
        <f t="shared" si="5"/>
        <v>13398</v>
      </c>
      <c r="H150" s="73"/>
      <c r="I150" s="78">
        <f t="shared" si="1"/>
        <v>5305.608</v>
      </c>
      <c r="J150" s="79">
        <f t="shared" si="2"/>
        <v>0</v>
      </c>
      <c r="K150" s="79">
        <f t="shared" si="3"/>
        <v>0</v>
      </c>
      <c r="L150" s="72">
        <f t="shared" si="6"/>
        <v>5305.608</v>
      </c>
      <c r="M150" s="80"/>
    </row>
    <row r="152" spans="3:4" ht="15.75">
      <c r="C152" s="2" t="s">
        <v>39</v>
      </c>
      <c r="D152" s="2" t="str">
        <f>I4&amp;" - Revenue = $"&amp;ROUND(L150,0)&amp;"/y"</f>
        <v>Happy Solar Customer - Revenue = $5306/y</v>
      </c>
    </row>
    <row r="153" spans="2:9" s="90" customFormat="1" ht="16.5" thickBot="1">
      <c r="B153" s="91"/>
      <c r="E153" s="93"/>
      <c r="G153" s="93"/>
      <c r="I153" s="93"/>
    </row>
    <row r="154" ht="16.5" thickTop="1">
      <c r="C154" s="46" t="s">
        <v>75</v>
      </c>
    </row>
    <row r="155" spans="2:15" ht="15">
      <c r="B155" s="2"/>
      <c r="C155" s="2" t="s">
        <v>53</v>
      </c>
      <c r="D155" s="2" t="s">
        <v>81</v>
      </c>
      <c r="E155" s="2" t="s">
        <v>78</v>
      </c>
      <c r="G155" s="2" t="s">
        <v>78</v>
      </c>
      <c r="H155" s="2" t="s">
        <v>48</v>
      </c>
      <c r="I155" s="2" t="s">
        <v>49</v>
      </c>
      <c r="J155" s="2" t="s">
        <v>45</v>
      </c>
      <c r="K155" s="2" t="s">
        <v>50</v>
      </c>
      <c r="L155" s="3" t="s">
        <v>51</v>
      </c>
      <c r="M155" s="2" t="s">
        <v>47</v>
      </c>
      <c r="N155" s="2" t="s">
        <v>46</v>
      </c>
      <c r="O155" s="2" t="s">
        <v>76</v>
      </c>
    </row>
    <row r="156" spans="2:15" ht="15">
      <c r="B156" s="2"/>
      <c r="C156" s="2">
        <f aca="true" t="shared" si="7" ref="C156:C161">IF(AND($F$60&gt;=H156,$F$60&lt;=I156),1,0)</f>
        <v>0</v>
      </c>
      <c r="D156" s="52">
        <f aca="true" t="shared" si="8" ref="D156:D161">N156</f>
        <v>0.01321</v>
      </c>
      <c r="E156" s="2" t="s">
        <v>79</v>
      </c>
      <c r="G156" s="2" t="s">
        <v>79</v>
      </c>
      <c r="H156" s="2">
        <v>2500</v>
      </c>
      <c r="I156" s="2">
        <v>4999</v>
      </c>
      <c r="J156" s="2">
        <v>9.99</v>
      </c>
      <c r="K156" s="3">
        <v>60</v>
      </c>
      <c r="L156" s="2">
        <v>120</v>
      </c>
      <c r="M156" s="52">
        <v>0.02124</v>
      </c>
      <c r="N156" s="52">
        <v>0.01321</v>
      </c>
      <c r="O156" s="3" t="s">
        <v>77</v>
      </c>
    </row>
    <row r="157" spans="2:15" ht="15">
      <c r="B157" s="2"/>
      <c r="C157" s="2">
        <f t="shared" si="7"/>
        <v>0</v>
      </c>
      <c r="D157" s="52">
        <f t="shared" si="8"/>
        <v>0.01227</v>
      </c>
      <c r="E157" s="2" t="s">
        <v>79</v>
      </c>
      <c r="G157" s="2" t="s">
        <v>79</v>
      </c>
      <c r="H157" s="2">
        <v>5000</v>
      </c>
      <c r="I157" s="2">
        <v>9999</v>
      </c>
      <c r="J157" s="2">
        <v>8.25</v>
      </c>
      <c r="K157" s="3">
        <v>60</v>
      </c>
      <c r="L157" s="2">
        <v>120</v>
      </c>
      <c r="M157" s="52">
        <v>0.0204</v>
      </c>
      <c r="N157" s="52">
        <v>0.01227</v>
      </c>
      <c r="O157" s="3" t="s">
        <v>77</v>
      </c>
    </row>
    <row r="158" spans="2:15" ht="15">
      <c r="B158" s="2"/>
      <c r="C158" s="2">
        <f t="shared" si="7"/>
        <v>0</v>
      </c>
      <c r="D158" s="52">
        <f t="shared" si="8"/>
        <v>0.01174</v>
      </c>
      <c r="E158" s="2" t="s">
        <v>80</v>
      </c>
      <c r="G158" s="2" t="s">
        <v>80</v>
      </c>
      <c r="H158" s="2">
        <v>10000</v>
      </c>
      <c r="I158" s="2">
        <v>14999</v>
      </c>
      <c r="J158" s="2">
        <v>7.25</v>
      </c>
      <c r="K158" s="3">
        <v>60</v>
      </c>
      <c r="L158" s="2">
        <v>120</v>
      </c>
      <c r="M158" s="52">
        <v>0.01992</v>
      </c>
      <c r="N158" s="52">
        <v>0.01174</v>
      </c>
      <c r="O158" s="3" t="s">
        <v>77</v>
      </c>
    </row>
    <row r="159" spans="2:15" ht="15">
      <c r="B159" s="2"/>
      <c r="C159" s="2">
        <f t="shared" si="7"/>
        <v>0</v>
      </c>
      <c r="D159" s="52">
        <f t="shared" si="8"/>
        <v>0.01161</v>
      </c>
      <c r="E159" s="2" t="s">
        <v>80</v>
      </c>
      <c r="G159" s="2" t="s">
        <v>80</v>
      </c>
      <c r="H159" s="2">
        <v>15000</v>
      </c>
      <c r="I159" s="2">
        <v>19999</v>
      </c>
      <c r="J159" s="2">
        <v>6.99</v>
      </c>
      <c r="K159" s="3">
        <v>60</v>
      </c>
      <c r="L159" s="2">
        <v>120</v>
      </c>
      <c r="M159" s="52">
        <v>0.0198</v>
      </c>
      <c r="N159" s="52">
        <v>0.01161</v>
      </c>
      <c r="O159" s="3" t="s">
        <v>77</v>
      </c>
    </row>
    <row r="160" spans="2:15" ht="15">
      <c r="B160" s="2"/>
      <c r="C160" s="2">
        <f t="shared" si="7"/>
        <v>0</v>
      </c>
      <c r="D160" s="52">
        <f t="shared" si="8"/>
        <v>0.01161</v>
      </c>
      <c r="E160" s="2" t="s">
        <v>80</v>
      </c>
      <c r="G160" s="2" t="s">
        <v>80</v>
      </c>
      <c r="H160" s="2">
        <v>20000</v>
      </c>
      <c r="I160" s="2">
        <v>24999</v>
      </c>
      <c r="J160" s="2">
        <v>6.99</v>
      </c>
      <c r="K160" s="3">
        <v>60</v>
      </c>
      <c r="L160" s="2">
        <v>180</v>
      </c>
      <c r="M160" s="52">
        <v>0.0198</v>
      </c>
      <c r="N160" s="52">
        <v>0.01161</v>
      </c>
      <c r="O160" s="2">
        <v>0.00898</v>
      </c>
    </row>
    <row r="161" spans="2:15" ht="15">
      <c r="B161" s="2"/>
      <c r="C161" s="2">
        <f t="shared" si="7"/>
        <v>1</v>
      </c>
      <c r="D161" s="52">
        <f t="shared" si="8"/>
        <v>0.01135</v>
      </c>
      <c r="E161" s="2" t="s">
        <v>80</v>
      </c>
      <c r="G161" s="2" t="s">
        <v>80</v>
      </c>
      <c r="H161" s="2">
        <v>25000</v>
      </c>
      <c r="I161" s="2">
        <v>50000</v>
      </c>
      <c r="J161" s="2">
        <v>6.49</v>
      </c>
      <c r="K161" s="3">
        <v>60</v>
      </c>
      <c r="L161" s="2">
        <v>180</v>
      </c>
      <c r="M161" s="52">
        <v>0.01956</v>
      </c>
      <c r="N161" s="52">
        <v>0.01135</v>
      </c>
      <c r="O161" s="2">
        <v>0.00871</v>
      </c>
    </row>
    <row r="162" spans="2:9" s="90" customFormat="1" ht="16.5" thickBot="1">
      <c r="B162" s="91"/>
      <c r="E162" s="93"/>
      <c r="G162" s="93"/>
      <c r="I162" s="93"/>
    </row>
    <row r="163" ht="16.5" thickTop="1">
      <c r="C163" s="46" t="s">
        <v>72</v>
      </c>
    </row>
    <row r="164" spans="3:4" ht="15.75">
      <c r="C164" s="46" t="s">
        <v>73</v>
      </c>
      <c r="D164" s="46" t="s">
        <v>74</v>
      </c>
    </row>
    <row r="165" spans="3:6" ht="15.75">
      <c r="C165" s="53" t="s">
        <v>65</v>
      </c>
      <c r="D165" s="54" t="s">
        <v>90</v>
      </c>
      <c r="F165" s="53"/>
    </row>
    <row r="166" spans="3:4" ht="15.75">
      <c r="C166" s="53" t="s">
        <v>66</v>
      </c>
      <c r="D166" s="54" t="s">
        <v>91</v>
      </c>
    </row>
    <row r="168" spans="2:9" s="90" customFormat="1" ht="16.5" thickBot="1">
      <c r="B168" s="91"/>
      <c r="E168" s="93"/>
      <c r="G168" s="93"/>
      <c r="I168" s="93"/>
    </row>
    <row r="169" ht="16.5" thickTop="1">
      <c r="C169" s="46" t="s">
        <v>67</v>
      </c>
    </row>
    <row r="170" spans="3:7" ht="15.75">
      <c r="C170" s="2" t="s">
        <v>68</v>
      </c>
      <c r="D170" s="2" t="s">
        <v>69</v>
      </c>
      <c r="E170" s="55" t="s">
        <v>71</v>
      </c>
      <c r="F170" s="2" t="s">
        <v>70</v>
      </c>
      <c r="G170" s="55" t="s">
        <v>71</v>
      </c>
    </row>
    <row r="171" spans="3:7" ht="15.75">
      <c r="C171" s="2">
        <v>1</v>
      </c>
      <c r="D171" s="2" t="s">
        <v>89</v>
      </c>
      <c r="E171" s="3">
        <f>IF(ISERROR(D171),0,1)</f>
        <v>1</v>
      </c>
      <c r="F171" s="2" t="s">
        <v>92</v>
      </c>
      <c r="G171" s="3">
        <f>IF(ISERROR(F171),0,1)</f>
        <v>1</v>
      </c>
    </row>
    <row r="172" spans="3:7" ht="15.75">
      <c r="C172" s="2">
        <v>2</v>
      </c>
      <c r="D172" s="2" t="e">
        <f>VLOOKUP(#REF!,C13:H24,2,FALSE)</f>
        <v>#REF!</v>
      </c>
      <c r="E172" s="3">
        <f>IF(ISERROR(D172),0,1)</f>
        <v>0</v>
      </c>
      <c r="F172" s="2" t="e">
        <f>VLOOKUP(D172,$C$165:$D$166,2,FALSE)</f>
        <v>#REF!</v>
      </c>
      <c r="G172" s="3">
        <f>IF(ISERROR(F172),0,1)</f>
        <v>0</v>
      </c>
    </row>
    <row r="173" spans="3:7" ht="15.75">
      <c r="C173" s="2">
        <v>3</v>
      </c>
      <c r="D173" s="2" t="e">
        <f>VLOOKUP(#REF!,C13:H24,3,FALSE)</f>
        <v>#REF!</v>
      </c>
      <c r="E173" s="3">
        <f>IF(ISERROR(D173),0,1)</f>
        <v>0</v>
      </c>
      <c r="F173" s="2" t="s">
        <v>93</v>
      </c>
      <c r="G173" s="3">
        <f>IF(ISERROR(F173),0,1)</f>
        <v>1</v>
      </c>
    </row>
    <row r="174" spans="3:7" ht="15.75">
      <c r="C174" s="2">
        <v>4</v>
      </c>
      <c r="D174" s="2" t="e">
        <f>VLOOKUP(#REF!,C13:H24,4,FALSE)</f>
        <v>#REF!</v>
      </c>
      <c r="E174" s="3">
        <f>IF(ISERROR(D174),0,1)</f>
        <v>0</v>
      </c>
      <c r="F174" s="2" t="s">
        <v>94</v>
      </c>
      <c r="G174" s="3">
        <f>IF(ISERROR(F174),0,1)</f>
        <v>1</v>
      </c>
    </row>
    <row r="176" spans="2:9" s="90" customFormat="1" ht="16.5" thickBot="1">
      <c r="B176" s="91"/>
      <c r="E176" s="93"/>
      <c r="G176" s="93"/>
      <c r="I176" s="93"/>
    </row>
    <row r="177" spans="3:7" ht="16.5" thickTop="1">
      <c r="C177" s="46" t="s">
        <v>170</v>
      </c>
      <c r="D177" s="3"/>
      <c r="E177" s="2"/>
      <c r="F177" s="3"/>
      <c r="G177" s="2"/>
    </row>
    <row r="178" spans="3:7" ht="25.5">
      <c r="C178" s="58" t="s">
        <v>165</v>
      </c>
      <c r="D178" s="58" t="s">
        <v>166</v>
      </c>
      <c r="E178" s="58" t="s">
        <v>167</v>
      </c>
      <c r="F178" s="58" t="s">
        <v>168</v>
      </c>
      <c r="G178" s="58" t="s">
        <v>169</v>
      </c>
    </row>
    <row r="179" spans="3:7" ht="15.75">
      <c r="C179" s="59">
        <v>0</v>
      </c>
      <c r="D179" s="60"/>
      <c r="E179" s="61"/>
      <c r="F179" s="61"/>
      <c r="G179" s="62">
        <f>D179</f>
        <v>0</v>
      </c>
    </row>
    <row r="180" spans="3:7" ht="15.75">
      <c r="C180" s="59">
        <v>1</v>
      </c>
      <c r="D180" s="61"/>
      <c r="E180" s="60">
        <f>$F$57</f>
        <v>5305.608</v>
      </c>
      <c r="F180" s="60">
        <f>-(0.2/25*E180)</f>
        <v>-42.444864</v>
      </c>
      <c r="G180" s="60">
        <f>D179+E180+F180</f>
        <v>5263.163136</v>
      </c>
    </row>
    <row r="181" spans="3:7" ht="15.75">
      <c r="C181" s="59">
        <v>2</v>
      </c>
      <c r="D181" s="60"/>
      <c r="E181" s="60">
        <f aca="true" t="shared" si="9" ref="E181:E199">$F$57</f>
        <v>5305.608</v>
      </c>
      <c r="F181" s="60">
        <f>-(0.2/20*E181)+F180</f>
        <v>-95.500944</v>
      </c>
      <c r="G181" s="60">
        <f aca="true" t="shared" si="10" ref="G181:G199">G180+E181+F181</f>
        <v>10473.270192</v>
      </c>
    </row>
    <row r="182" spans="3:7" ht="15.75">
      <c r="C182" s="59">
        <v>3</v>
      </c>
      <c r="D182" s="60"/>
      <c r="E182" s="60">
        <f t="shared" si="9"/>
        <v>5305.608</v>
      </c>
      <c r="F182" s="60">
        <f aca="true" t="shared" si="11" ref="F182:F199">-(0.2/20*E182)+F181</f>
        <v>-148.557024</v>
      </c>
      <c r="G182" s="60">
        <f t="shared" si="10"/>
        <v>15630.321168</v>
      </c>
    </row>
    <row r="183" spans="3:7" ht="15.75">
      <c r="C183" s="59">
        <v>4</v>
      </c>
      <c r="D183" s="60"/>
      <c r="E183" s="60">
        <f t="shared" si="9"/>
        <v>5305.608</v>
      </c>
      <c r="F183" s="60">
        <f t="shared" si="11"/>
        <v>-201.61310400000002</v>
      </c>
      <c r="G183" s="60">
        <f t="shared" si="10"/>
        <v>20734.316064000002</v>
      </c>
    </row>
    <row r="184" spans="3:7" ht="15.75">
      <c r="C184" s="59">
        <v>5</v>
      </c>
      <c r="D184" s="60"/>
      <c r="E184" s="60">
        <f t="shared" si="9"/>
        <v>5305.608</v>
      </c>
      <c r="F184" s="60">
        <f t="shared" si="11"/>
        <v>-254.66918400000003</v>
      </c>
      <c r="G184" s="60">
        <f t="shared" si="10"/>
        <v>25785.254880000004</v>
      </c>
    </row>
    <row r="185" spans="3:7" ht="15.75">
      <c r="C185" s="59">
        <v>6</v>
      </c>
      <c r="D185" s="60"/>
      <c r="E185" s="60">
        <f t="shared" si="9"/>
        <v>5305.608</v>
      </c>
      <c r="F185" s="60">
        <f t="shared" si="11"/>
        <v>-307.72526400000004</v>
      </c>
      <c r="G185" s="60">
        <f t="shared" si="10"/>
        <v>30783.137616000004</v>
      </c>
    </row>
    <row r="186" spans="3:7" ht="15.75">
      <c r="C186" s="59">
        <v>7</v>
      </c>
      <c r="D186" s="60"/>
      <c r="E186" s="60">
        <f t="shared" si="9"/>
        <v>5305.608</v>
      </c>
      <c r="F186" s="60">
        <f t="shared" si="11"/>
        <v>-360.78134400000005</v>
      </c>
      <c r="G186" s="60">
        <f t="shared" si="10"/>
        <v>35727.964272</v>
      </c>
    </row>
    <row r="187" spans="3:7" ht="15.75">
      <c r="C187" s="59">
        <v>8</v>
      </c>
      <c r="D187" s="60"/>
      <c r="E187" s="60">
        <f t="shared" si="9"/>
        <v>5305.608</v>
      </c>
      <c r="F187" s="60">
        <f t="shared" si="11"/>
        <v>-413.83742400000006</v>
      </c>
      <c r="G187" s="60">
        <f t="shared" si="10"/>
        <v>40619.734848</v>
      </c>
    </row>
    <row r="188" spans="3:7" ht="15.75">
      <c r="C188" s="59">
        <v>9</v>
      </c>
      <c r="D188" s="60"/>
      <c r="E188" s="60">
        <f t="shared" si="9"/>
        <v>5305.608</v>
      </c>
      <c r="F188" s="60">
        <f t="shared" si="11"/>
        <v>-466.89350400000006</v>
      </c>
      <c r="G188" s="60">
        <f t="shared" si="10"/>
        <v>45458.449344</v>
      </c>
    </row>
    <row r="189" spans="3:7" ht="15.75">
      <c r="C189" s="59">
        <v>10</v>
      </c>
      <c r="D189" s="60"/>
      <c r="E189" s="60">
        <f t="shared" si="9"/>
        <v>5305.608</v>
      </c>
      <c r="F189" s="60">
        <f t="shared" si="11"/>
        <v>-519.9495840000001</v>
      </c>
      <c r="G189" s="60">
        <f t="shared" si="10"/>
        <v>50244.10776</v>
      </c>
    </row>
    <row r="190" spans="3:7" ht="15.75">
      <c r="C190" s="59">
        <v>11</v>
      </c>
      <c r="D190" s="60"/>
      <c r="E190" s="60">
        <f t="shared" si="9"/>
        <v>5305.608</v>
      </c>
      <c r="F190" s="60">
        <f t="shared" si="11"/>
        <v>-573.005664</v>
      </c>
      <c r="G190" s="60">
        <f t="shared" si="10"/>
        <v>54976.710096</v>
      </c>
    </row>
    <row r="191" spans="3:7" ht="15.75">
      <c r="C191" s="59">
        <v>12</v>
      </c>
      <c r="D191" s="60"/>
      <c r="E191" s="60">
        <f t="shared" si="9"/>
        <v>5305.608</v>
      </c>
      <c r="F191" s="60">
        <f t="shared" si="11"/>
        <v>-626.061744</v>
      </c>
      <c r="G191" s="60">
        <f t="shared" si="10"/>
        <v>59656.256352000004</v>
      </c>
    </row>
    <row r="192" spans="3:7" ht="15.75">
      <c r="C192" s="59">
        <v>13</v>
      </c>
      <c r="D192" s="60"/>
      <c r="E192" s="60">
        <f t="shared" si="9"/>
        <v>5305.608</v>
      </c>
      <c r="F192" s="60">
        <f t="shared" si="11"/>
        <v>-679.1178239999999</v>
      </c>
      <c r="G192" s="60">
        <f t="shared" si="10"/>
        <v>64282.746528</v>
      </c>
    </row>
    <row r="193" spans="3:7" ht="15.75">
      <c r="C193" s="59">
        <v>14</v>
      </c>
      <c r="D193" s="60"/>
      <c r="E193" s="60">
        <f t="shared" si="9"/>
        <v>5305.608</v>
      </c>
      <c r="F193" s="60">
        <f t="shared" si="11"/>
        <v>-732.1739039999999</v>
      </c>
      <c r="G193" s="60">
        <f t="shared" si="10"/>
        <v>68856.180624</v>
      </c>
    </row>
    <row r="194" spans="3:7" ht="15.75">
      <c r="C194" s="59">
        <v>15</v>
      </c>
      <c r="D194" s="60"/>
      <c r="E194" s="60">
        <f t="shared" si="9"/>
        <v>5305.608</v>
      </c>
      <c r="F194" s="60">
        <f t="shared" si="11"/>
        <v>-785.2299839999998</v>
      </c>
      <c r="G194" s="60">
        <f t="shared" si="10"/>
        <v>73376.55864</v>
      </c>
    </row>
    <row r="195" spans="3:7" ht="15.75">
      <c r="C195" s="59">
        <v>16</v>
      </c>
      <c r="D195" s="60"/>
      <c r="E195" s="60">
        <f t="shared" si="9"/>
        <v>5305.608</v>
      </c>
      <c r="F195" s="60">
        <f t="shared" si="11"/>
        <v>-838.2860639999998</v>
      </c>
      <c r="G195" s="60">
        <f t="shared" si="10"/>
        <v>77843.88057600001</v>
      </c>
    </row>
    <row r="196" spans="3:7" ht="15.75">
      <c r="C196" s="59">
        <v>17</v>
      </c>
      <c r="D196" s="60"/>
      <c r="E196" s="60">
        <f t="shared" si="9"/>
        <v>5305.608</v>
      </c>
      <c r="F196" s="60">
        <f t="shared" si="11"/>
        <v>-891.3421439999997</v>
      </c>
      <c r="G196" s="60">
        <f t="shared" si="10"/>
        <v>82258.14643200001</v>
      </c>
    </row>
    <row r="197" spans="3:7" ht="15.75">
      <c r="C197" s="59">
        <v>18</v>
      </c>
      <c r="D197" s="60"/>
      <c r="E197" s="60">
        <f t="shared" si="9"/>
        <v>5305.608</v>
      </c>
      <c r="F197" s="60">
        <f t="shared" si="11"/>
        <v>-944.3982239999997</v>
      </c>
      <c r="G197" s="60">
        <f t="shared" si="10"/>
        <v>86619.35620800001</v>
      </c>
    </row>
    <row r="198" spans="3:7" ht="15.75">
      <c r="C198" s="59">
        <v>19</v>
      </c>
      <c r="D198" s="60"/>
      <c r="E198" s="60">
        <f t="shared" si="9"/>
        <v>5305.608</v>
      </c>
      <c r="F198" s="60">
        <f t="shared" si="11"/>
        <v>-997.4543039999996</v>
      </c>
      <c r="G198" s="60">
        <f t="shared" si="10"/>
        <v>90927.50990400002</v>
      </c>
    </row>
    <row r="199" spans="3:7" ht="15.75">
      <c r="C199" s="59">
        <v>20</v>
      </c>
      <c r="D199" s="60"/>
      <c r="E199" s="60">
        <f t="shared" si="9"/>
        <v>5305.608</v>
      </c>
      <c r="F199" s="60">
        <f t="shared" si="11"/>
        <v>-1050.5103839999997</v>
      </c>
      <c r="G199" s="60">
        <f t="shared" si="10"/>
        <v>95182.60752000002</v>
      </c>
    </row>
    <row r="200" spans="5:7" ht="15.75">
      <c r="E200" s="2"/>
      <c r="G200" s="2"/>
    </row>
    <row r="202" ht="15.75">
      <c r="D202" s="65"/>
    </row>
  </sheetData>
  <sheetProtection selectLockedCells="1"/>
  <mergeCells count="20">
    <mergeCell ref="F63:G63"/>
    <mergeCell ref="F64:G64"/>
    <mergeCell ref="F66:G66"/>
    <mergeCell ref="F2:K2"/>
    <mergeCell ref="D4:F4"/>
    <mergeCell ref="D9:F9"/>
    <mergeCell ref="I4:J4"/>
    <mergeCell ref="I9:J9"/>
    <mergeCell ref="D10:F10"/>
    <mergeCell ref="I10:J10"/>
    <mergeCell ref="C81:K81"/>
    <mergeCell ref="D136:H136"/>
    <mergeCell ref="I136:M136"/>
    <mergeCell ref="B39:K39"/>
    <mergeCell ref="C83:J83"/>
    <mergeCell ref="C28:J28"/>
    <mergeCell ref="F57:G57"/>
    <mergeCell ref="F60:G60"/>
    <mergeCell ref="F61:G61"/>
    <mergeCell ref="F62:G62"/>
  </mergeCells>
  <dataValidations count="3">
    <dataValidation type="list" allowBlank="1" showInputMessage="1" showErrorMessage="1" sqref="D4">
      <formula1>$C$6:$C$8</formula1>
    </dataValidation>
    <dataValidation type="list" allowBlank="1" showInputMessage="1" showErrorMessage="1" sqref="D31 D35 D33">
      <formula1>$C$101:$C$116</formula1>
    </dataValidation>
    <dataValidation type="list" allowBlank="1" showErrorMessage="1" promptTitle="TEst" prompt="test" sqref="F31 F33 F35">
      <formula1>$D$101:$D$116</formula1>
    </dataValidation>
  </dataValidations>
  <printOptions horizontalCentered="1" verticalCentered="1"/>
  <pageMargins left="0.7" right="0.7" top="0.75" bottom="0.75" header="0.3" footer="0.3"/>
  <pageSetup fitToHeight="1" fitToWidth="1" horizontalDpi="600" verticalDpi="600" orientation="portrait" scale="63" r:id="rId2"/>
  <drawing r:id="rId1"/>
</worksheet>
</file>

<file path=xl/worksheets/sheet2.xml><?xml version="1.0" encoding="utf-8"?>
<worksheet xmlns="http://schemas.openxmlformats.org/spreadsheetml/2006/main" xmlns:r="http://schemas.openxmlformats.org/officeDocument/2006/relationships">
  <dimension ref="A1:N3"/>
  <sheetViews>
    <sheetView zoomScalePageLayoutView="0" workbookViewId="0" topLeftCell="A1">
      <selection activeCell="P3" sqref="P3"/>
    </sheetView>
  </sheetViews>
  <sheetFormatPr defaultColWidth="9.140625" defaultRowHeight="15"/>
  <sheetData>
    <row r="1" ht="23.25">
      <c r="A1" s="103" t="s">
        <v>186</v>
      </c>
    </row>
    <row r="3" spans="1:14" ht="341.25" customHeight="1">
      <c r="A3" s="134" t="s">
        <v>187</v>
      </c>
      <c r="B3" s="135"/>
      <c r="C3" s="135"/>
      <c r="D3" s="135"/>
      <c r="E3" s="135"/>
      <c r="F3" s="135"/>
      <c r="G3" s="135"/>
      <c r="H3" s="135"/>
      <c r="I3" s="135"/>
      <c r="J3" s="135"/>
      <c r="K3" s="135"/>
      <c r="L3" s="135"/>
      <c r="M3" s="135"/>
      <c r="N3" s="135"/>
    </row>
  </sheetData>
  <sheetProtection/>
  <mergeCells count="1">
    <mergeCell ref="A3:N3"/>
  </mergeCells>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H21"/>
  <sheetViews>
    <sheetView zoomScalePageLayoutView="0" workbookViewId="0" topLeftCell="A1">
      <selection activeCell="I17" sqref="I17"/>
    </sheetView>
  </sheetViews>
  <sheetFormatPr defaultColWidth="9.140625" defaultRowHeight="15"/>
  <cols>
    <col min="5" max="5" width="11.57421875" style="0" bestFit="1" customWidth="1"/>
    <col min="6" max="6" width="14.7109375" style="0" customWidth="1"/>
    <col min="7" max="7" width="9.28125" style="0" bestFit="1" customWidth="1"/>
  </cols>
  <sheetData>
    <row r="1" ht="15">
      <c r="A1" s="104" t="s">
        <v>188</v>
      </c>
    </row>
    <row r="3" ht="15">
      <c r="A3" t="s">
        <v>189</v>
      </c>
    </row>
    <row r="4" spans="1:3" ht="15">
      <c r="A4" t="s">
        <v>190</v>
      </c>
      <c r="C4">
        <v>13447</v>
      </c>
    </row>
    <row r="6" ht="15">
      <c r="A6" t="s">
        <v>191</v>
      </c>
    </row>
    <row r="7" spans="1:3" ht="15">
      <c r="A7" t="s">
        <v>190</v>
      </c>
      <c r="C7">
        <v>13331</v>
      </c>
    </row>
    <row r="9" ht="15">
      <c r="A9" t="s">
        <v>192</v>
      </c>
    </row>
    <row r="10" spans="1:3" ht="15">
      <c r="A10" t="s">
        <v>190</v>
      </c>
      <c r="C10">
        <v>15598</v>
      </c>
    </row>
    <row r="12" spans="1:7" ht="15">
      <c r="A12" s="104" t="s">
        <v>193</v>
      </c>
      <c r="B12" s="104"/>
      <c r="C12" s="104"/>
      <c r="D12" s="104"/>
      <c r="E12" s="104" t="s">
        <v>197</v>
      </c>
      <c r="F12" s="104" t="s">
        <v>198</v>
      </c>
      <c r="G12" s="104" t="s">
        <v>201</v>
      </c>
    </row>
    <row r="13" spans="1:8" ht="15">
      <c r="A13" s="105" t="s">
        <v>195</v>
      </c>
      <c r="B13" t="s">
        <v>194</v>
      </c>
      <c r="E13" s="106">
        <v>13447</v>
      </c>
      <c r="F13" s="106">
        <f>E13*1.67</f>
        <v>22456.489999999998</v>
      </c>
      <c r="G13" s="106"/>
      <c r="H13" s="106"/>
    </row>
    <row r="14" spans="1:8" ht="15">
      <c r="A14" s="105"/>
      <c r="B14" t="s">
        <v>203</v>
      </c>
      <c r="E14" s="106"/>
      <c r="F14" s="106">
        <f>1600+120*9</f>
        <v>2680</v>
      </c>
      <c r="G14" s="106"/>
      <c r="H14" s="106"/>
    </row>
    <row r="15" spans="2:8" ht="15">
      <c r="B15" t="s">
        <v>196</v>
      </c>
      <c r="E15" s="106"/>
      <c r="F15" s="106">
        <v>10784</v>
      </c>
      <c r="G15" s="106"/>
      <c r="H15" s="106"/>
    </row>
    <row r="16" spans="5:8" ht="15.75" thickBot="1">
      <c r="E16" s="107" t="s">
        <v>199</v>
      </c>
      <c r="F16" s="107">
        <f>F13+F15+F14</f>
        <v>35920.49</v>
      </c>
      <c r="G16" s="106"/>
      <c r="H16" s="106"/>
    </row>
    <row r="17" spans="5:8" ht="15.75" thickTop="1">
      <c r="E17" s="106" t="s">
        <v>200</v>
      </c>
      <c r="F17" s="106">
        <f>F16*0.13</f>
        <v>4669.6637</v>
      </c>
      <c r="G17" s="106"/>
      <c r="H17" s="106"/>
    </row>
    <row r="18" spans="5:8" ht="15.75" thickBot="1">
      <c r="E18" s="107" t="s">
        <v>174</v>
      </c>
      <c r="F18" s="107">
        <f>F16+F17</f>
        <v>40590.153699999995</v>
      </c>
      <c r="G18" s="107">
        <f>F18/10000</f>
        <v>4.059015369999999</v>
      </c>
      <c r="H18" s="106"/>
    </row>
    <row r="19" ht="15.75" thickTop="1"/>
    <row r="20" spans="1:7" ht="15">
      <c r="A20" s="104"/>
      <c r="B20" s="104"/>
      <c r="C20" s="104"/>
      <c r="D20" s="104"/>
      <c r="E20" s="104"/>
      <c r="F20" s="104"/>
      <c r="G20" s="104"/>
    </row>
    <row r="21" spans="1:7" ht="15">
      <c r="A21" s="105"/>
      <c r="E21" s="106"/>
      <c r="F21" s="106"/>
      <c r="G21" s="106"/>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Renewable Energy of Plum Hollow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jason</dc:creator>
  <cp:keywords/>
  <dc:description/>
  <cp:lastModifiedBy>Jason Wamboldt</cp:lastModifiedBy>
  <cp:lastPrinted>2013-07-02T14:24:25Z</cp:lastPrinted>
  <dcterms:created xsi:type="dcterms:W3CDTF">2012-08-08T16:26:35Z</dcterms:created>
  <dcterms:modified xsi:type="dcterms:W3CDTF">2013-09-11T20:49:51Z</dcterms:modified>
  <cp:category/>
  <cp:version/>
  <cp:contentType/>
  <cp:contentStatus/>
</cp:coreProperties>
</file>